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<sst xmlns="http://schemas.openxmlformats.org/spreadsheetml/2006/main" count="331" uniqueCount="198">
  <si>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</si>
  <si>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</si>
  <si>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</si>
  <si>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</si>
  <si>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</si>
  <si>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</si>
  <si>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</si>
  <si>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</si>
  <si>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</si>
  <si>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</si>
  <si>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</si>
  <si>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</si>
  <si>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</si>
  <si>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</si>
  <si>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</si>
  <si>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</si>
  <si>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</si>
  <si>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</si>
  <si>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</si>
  <si>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</si>
  <si>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</si>
  <si>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</si>
  <si>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</si>
  <si>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</si>
  <si>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</si>
  <si>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</si>
  <si>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</si>
  <si>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</si>
  <si>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</si>
  <si>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</si>
  <si>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</si>
  <si>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</si>
  <si>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</si>
  <si>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</si>
  <si>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</si>
  <si>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</si>
  <si>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</si>
  <si>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</si>
  <si>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</si>
  <si>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</si>
  <si>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</si>
  <si>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</si>
  <si>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</si>
  <si>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</si>
  <si>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</si>
  <si>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</si>
  <si>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</si>
  <si>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</si>
  <si>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</si>
  <si>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</si>
  <si>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</si>
  <si>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</si>
  <si>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</si>
  <si>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</si>
  <si>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</si>
  <si>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</si>
  <si>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</si>
  <si>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</si>
  <si>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</si>
  <si>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</si>
  <si>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</si>
  <si>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</si>
  <si>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</si>
  <si>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</si>
  <si>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</si>
  <si>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</si>
  <si>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</si>
  <si>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</si>
  <si>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</si>
  <si>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</si>
  <si>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</si>
  <si>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</si>
  <si>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</si>
  <si>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</si>
  <si>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</si>
  <si>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</si>
  <si>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</si>
  <si>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</si>
  <si>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</si>
  <si>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</si>
  <si>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</si>
  <si>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</si>
  <si>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</si>
  <si>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</si>
  <si>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</si>
  <si>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</si>
  <si>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</si>
  <si>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</si>
  <si>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</si>
  <si>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</si>
  <si>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</si>
  <si>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</si>
  <si>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</si>
  <si>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</si>
  <si>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</si>
  <si>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</si>
  <si>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</si>
  <si>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</si>
  <si>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</si>
  <si>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</si>
  <si>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</si>
  <si>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</si>
  <si>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</si>
  <si>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</si>
  <si>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</si>
  <si>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</si>
  <si>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</si>
  <si>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</si>
  <si>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</si>
  <si>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</si>
  <si>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</si>
  <si>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</si>
  <si>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</si>
  <si>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</si>
  <si>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</si>
  <si>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</si>
  <si>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</si>
  <si>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</si>
  <si>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</si>
  <si>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</si>
  <si>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</si>
  <si>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</si>
  <si>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</si>
  <si>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</si>
  <si>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</si>
  <si>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</si>
  <si>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</si>
  <si>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</si>
  <si>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</si>
  <si>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</si>
  <si>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</si>
  <si>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</si>
  <si>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</si>
  <si>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</si>
  <si>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</si>
  <si>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</si>
  <si>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</si>
  <si>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</si>
  <si>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</si>
  <si>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</si>
  <si>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</si>
  <si>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</si>
  <si>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</si>
  <si>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</si>
  <si>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</si>
  <si>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</si>
  <si>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</si>
  <si>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</si>
  <si>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</si>
  <si>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</si>
  <si>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</si>
  <si>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</si>
  <si>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</si>
  <si>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</si>
  <si>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</si>
  <si>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</si>
  <si>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</si>
  <si>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</si>
  <si>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</si>
  <si>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</si>
  <si>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</si>
  <si>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</si>
  <si>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</si>
  <si>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</si>
  <si>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</si>
  <si>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</si>
  <si>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</si>
  <si>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</si>
  <si>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</si>
  <si>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</si>
  <si>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</si>
  <si>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</si>
  <si>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</si>
  <si>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</si>
  <si>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</si>
  <si>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</si>
  <si>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</si>
  <si>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</si>
  <si>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</si>
  <si>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</si>
  <si>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</si>
  <si>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>Другие общегосударственные вопросы</t>
  </si>
  <si>
    <t>000  1102  0000000000  222</t>
  </si>
  <si>
    <t>000  1102  0000000000  310</t>
  </si>
  <si>
    <t>КВР 321</t>
  </si>
  <si>
    <t>000  1003  0000000000  263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</si>
  <si>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</si>
  <si>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000  0801  0000000000  222</t>
  </si>
  <si>
    <t>000  1102  0000000000  340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</si>
  <si>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</si>
  <si>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</si>
  <si>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КВР 122</t>
  </si>
  <si>
    <t xml:space="preserve">Иные выплаты персоналу муниципальных органов, за исключением фонда оплаты труда </t>
  </si>
  <si>
    <t>000  0104  0000000000  212</t>
  </si>
  <si>
    <t>Прочие выплаты</t>
  </si>
  <si>
    <t>Глава администрации</t>
  </si>
  <si>
    <t>Е.Л. Ягодкин</t>
  </si>
  <si>
    <t xml:space="preserve">  на 01 января 2019г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</si>
</sst>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75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7" fillId="32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5" fillId="0" borderId="11" xfId="0" applyNumberFormat="1" applyFont="1" applyFill="1" applyBorder="1" applyAlignment="1">
      <alignment horizontal="right" wrapText="1"/>
    </xf>
    <xf numFmtId="2" fontId="6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8"/>
  <sheetViews>
    <sheetView tabSelected="1" zoomScalePageLayoutView="0" workbookViewId="0" topLeftCell="A150">
      <selection activeCell="H163" sqref="H1:M163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8.7109375" style="0" customWidth="1"/>
    <col min="4" max="4" width="17.421875" style="0" customWidth="1"/>
    <col min="5" max="5" width="15.28125" style="0" customWidth="1"/>
    <col min="6" max="6" width="16.00390625" style="0" customWidth="1"/>
    <col min="7" max="7" width="15.140625" style="0" customWidth="1"/>
    <col min="8" max="8" width="15.28125" style="0" customWidth="1"/>
    <col min="9" max="9" width="14.8515625" style="0" customWidth="1"/>
    <col min="10" max="10" width="12.7109375" style="0" bestFit="1" customWidth="1"/>
    <col min="11" max="11" width="12.28125" style="0" bestFit="1" customWidth="1"/>
  </cols>
  <sheetData>
    <row r="1" spans="1:13" ht="12.75" customHeight="1">
      <c r="A1" s="32" t="s">
        <v>29</v>
      </c>
      <c r="B1" s="32"/>
      <c r="C1" s="32"/>
      <c r="D1" s="32"/>
      <c r="E1" s="32"/>
      <c r="F1" s="32"/>
      <c r="G1" s="32"/>
      <c r="H1" s="29"/>
      <c r="I1" s="29"/>
      <c r="J1" s="29"/>
      <c r="K1" s="29"/>
      <c r="L1" s="29"/>
      <c r="M1" s="29"/>
    </row>
    <row r="2" spans="1:13" ht="12.75">
      <c r="A2" s="38" t="s">
        <v>79</v>
      </c>
      <c r="B2" s="38"/>
      <c r="C2" s="38"/>
      <c r="D2" s="38"/>
      <c r="E2" s="38"/>
      <c r="F2" s="38"/>
      <c r="G2" s="38"/>
      <c r="H2" s="29"/>
      <c r="I2" s="29"/>
      <c r="J2" s="29"/>
      <c r="K2" s="29"/>
      <c r="L2" s="29"/>
      <c r="M2" s="29"/>
    </row>
    <row r="3" spans="1:13" ht="12.75" customHeight="1">
      <c r="A3" s="33" t="s">
        <v>197</v>
      </c>
      <c r="B3" s="33"/>
      <c r="C3" s="33"/>
      <c r="D3" s="33"/>
      <c r="E3" s="33"/>
      <c r="F3" s="33"/>
      <c r="G3" s="33"/>
      <c r="H3" s="29"/>
      <c r="I3" s="29"/>
      <c r="J3" s="29"/>
      <c r="K3" s="29"/>
      <c r="L3" s="29"/>
      <c r="M3" s="29"/>
    </row>
    <row r="4" spans="1:13" ht="12.75">
      <c r="A4" s="34" t="s">
        <v>34</v>
      </c>
      <c r="B4" s="35"/>
      <c r="C4" s="36" t="s">
        <v>167</v>
      </c>
      <c r="D4" s="37"/>
      <c r="E4" s="37"/>
      <c r="F4" s="37"/>
      <c r="G4" s="1"/>
      <c r="H4" s="29"/>
      <c r="I4" s="29"/>
      <c r="J4" s="29"/>
      <c r="K4" s="29"/>
      <c r="L4" s="29"/>
      <c r="M4" s="29"/>
    </row>
    <row r="5" spans="1:13" ht="67.5" customHeight="1">
      <c r="A5" s="3" t="s">
        <v>7</v>
      </c>
      <c r="B5" s="3" t="s">
        <v>42</v>
      </c>
      <c r="C5" s="3" t="s">
        <v>25</v>
      </c>
      <c r="D5" s="3" t="s">
        <v>77</v>
      </c>
      <c r="E5" s="3" t="s">
        <v>171</v>
      </c>
      <c r="F5" s="3" t="s">
        <v>78</v>
      </c>
      <c r="G5" s="3" t="s">
        <v>172</v>
      </c>
      <c r="H5" s="39"/>
      <c r="I5" s="29"/>
      <c r="J5" s="29"/>
      <c r="K5" s="29"/>
      <c r="L5" s="29"/>
      <c r="M5" s="29"/>
    </row>
    <row r="6" spans="1:13" ht="15" customHeight="1">
      <c r="A6" s="11" t="s">
        <v>21</v>
      </c>
      <c r="B6" s="10" t="s">
        <v>46</v>
      </c>
      <c r="C6" s="10" t="s">
        <v>47</v>
      </c>
      <c r="D6" s="12">
        <f>D7+D10+D13+D25+D38+D114+D117+D120+D123+D131+D135+D139+D143+D145+D150+D155+D160+D34+D22</f>
        <v>74320084.7</v>
      </c>
      <c r="E6" s="12">
        <f>E7+E10+E13+E25+E38+E114+E117+E120+E131+E135+E139+E145+E150+E155+E160+E123</f>
        <v>0</v>
      </c>
      <c r="F6" s="30">
        <f>F7+F10+F13+F25+F38+F114+F117+F120+F123+F131+F135+F139+F143+F145+F150+F155+F160+F22</f>
        <v>71371798.35</v>
      </c>
      <c r="G6" s="12">
        <f>G7+G10+G13+G25+G38+G114+G117+G120+G131+G135+G139+G145+G150+G155+G160+G123</f>
        <v>0</v>
      </c>
      <c r="H6" s="31"/>
      <c r="I6" s="29"/>
      <c r="J6" s="29"/>
      <c r="K6" s="29"/>
      <c r="L6" s="29"/>
      <c r="M6" s="29"/>
    </row>
    <row r="7" spans="1:13" ht="21" customHeight="1">
      <c r="A7" s="4"/>
      <c r="B7" s="10" t="s">
        <v>48</v>
      </c>
      <c r="C7" s="10" t="s">
        <v>62</v>
      </c>
      <c r="D7" s="12">
        <f aca="true" t="shared" si="0" ref="D7:G8">D8</f>
        <v>1176000</v>
      </c>
      <c r="E7" s="12">
        <f t="shared" si="0"/>
        <v>0</v>
      </c>
      <c r="F7" s="19">
        <f t="shared" si="0"/>
        <v>1175189.28</v>
      </c>
      <c r="G7" s="12">
        <f t="shared" si="0"/>
        <v>0</v>
      </c>
      <c r="H7" s="31"/>
      <c r="I7" s="40"/>
      <c r="J7" s="29"/>
      <c r="K7" s="29"/>
      <c r="L7" s="29"/>
      <c r="M7" s="29"/>
    </row>
    <row r="8" spans="1:13" ht="16.5" customHeight="1">
      <c r="A8" s="4">
        <v>2.66</v>
      </c>
      <c r="B8" s="5" t="s">
        <v>27</v>
      </c>
      <c r="C8" s="5" t="s">
        <v>43</v>
      </c>
      <c r="D8" s="6">
        <f t="shared" si="0"/>
        <v>1176000</v>
      </c>
      <c r="E8" s="6">
        <f t="shared" si="0"/>
        <v>0</v>
      </c>
      <c r="F8" s="18">
        <f>F9</f>
        <v>1175189.28</v>
      </c>
      <c r="G8" s="6">
        <f t="shared" si="0"/>
        <v>0</v>
      </c>
      <c r="H8" s="31"/>
      <c r="I8" s="40"/>
      <c r="J8" s="29"/>
      <c r="K8" s="29"/>
      <c r="L8" s="29"/>
      <c r="M8" s="29"/>
    </row>
    <row r="9" spans="1:13" ht="15" customHeight="1">
      <c r="A9" s="4"/>
      <c r="B9" s="5" t="s">
        <v>81</v>
      </c>
      <c r="C9" s="5" t="s">
        <v>143</v>
      </c>
      <c r="D9" s="18">
        <v>1176000</v>
      </c>
      <c r="E9" s="6"/>
      <c r="F9" s="18">
        <f>192978+13088.5+52439.9+38052.79+39357.35+14763.5+33000+8897.86+27009.36+14841.96+32000+36417.88+11817.2+5000+11559.5+46201.69+18000+67676.81+17797.66+23000+14208+60950.2+23000+5734.74+59040.92+12697+18000+68860.38+19715+25000+42159.02+121924.06</f>
        <v>1175189.28</v>
      </c>
      <c r="G9" s="6"/>
      <c r="H9" s="31"/>
      <c r="I9" s="40"/>
      <c r="J9" s="29"/>
      <c r="K9" s="29"/>
      <c r="L9" s="29"/>
      <c r="M9" s="29"/>
    </row>
    <row r="10" spans="1:13" ht="52.5" customHeight="1">
      <c r="A10" s="4"/>
      <c r="B10" s="10" t="s">
        <v>49</v>
      </c>
      <c r="C10" s="10" t="s">
        <v>63</v>
      </c>
      <c r="D10" s="12">
        <f aca="true" t="shared" si="1" ref="D10:G11">D11</f>
        <v>373000</v>
      </c>
      <c r="E10" s="12">
        <f t="shared" si="1"/>
        <v>0</v>
      </c>
      <c r="F10" s="19">
        <f>F11</f>
        <v>372415.89</v>
      </c>
      <c r="G10" s="12">
        <f t="shared" si="1"/>
        <v>0</v>
      </c>
      <c r="H10" s="31"/>
      <c r="I10" s="40"/>
      <c r="J10" s="29"/>
      <c r="K10" s="29"/>
      <c r="L10" s="29"/>
      <c r="M10" s="29"/>
    </row>
    <row r="11" spans="1:13" ht="15.75" customHeight="1">
      <c r="A11" s="4">
        <v>2.66</v>
      </c>
      <c r="B11" s="5" t="s">
        <v>27</v>
      </c>
      <c r="C11" s="5" t="s">
        <v>43</v>
      </c>
      <c r="D11" s="6">
        <f>D12</f>
        <v>373000</v>
      </c>
      <c r="E11" s="6">
        <f t="shared" si="1"/>
        <v>0</v>
      </c>
      <c r="F11" s="18">
        <f>F12</f>
        <v>372415.89</v>
      </c>
      <c r="G11" s="6">
        <f t="shared" si="1"/>
        <v>0</v>
      </c>
      <c r="H11" s="31"/>
      <c r="I11" s="40"/>
      <c r="J11" s="29"/>
      <c r="K11" s="29"/>
      <c r="L11" s="29"/>
      <c r="M11" s="29"/>
    </row>
    <row r="12" spans="1:13" ht="17.25" customHeight="1">
      <c r="A12" s="4"/>
      <c r="B12" s="5" t="s">
        <v>82</v>
      </c>
      <c r="C12" s="5" t="s">
        <v>144</v>
      </c>
      <c r="D12" s="18">
        <f>355000+16000+1000+1000</f>
        <v>373000</v>
      </c>
      <c r="E12" s="6"/>
      <c r="F12" s="18">
        <f>62490.47+25225.57+4229.35+27645.58+28011.47+24230.99+21671.87+4699.5+27270.69+30220.79+27429.04+30677.48+58613.09</f>
        <v>372415.89</v>
      </c>
      <c r="G12" s="6"/>
      <c r="H12" s="31"/>
      <c r="I12" s="40"/>
      <c r="J12" s="29"/>
      <c r="K12" s="29"/>
      <c r="L12" s="29"/>
      <c r="M12" s="29"/>
    </row>
    <row r="13" spans="1:13" s="2" customFormat="1" ht="28.5" customHeight="1">
      <c r="A13" s="7"/>
      <c r="B13" s="8" t="s">
        <v>50</v>
      </c>
      <c r="C13" s="10" t="s">
        <v>64</v>
      </c>
      <c r="D13" s="9">
        <f>D14+D16+D18+D20</f>
        <v>2884200</v>
      </c>
      <c r="E13" s="9">
        <f>E14+E16+E18+E20</f>
        <v>0</v>
      </c>
      <c r="F13" s="20">
        <f>F14+F16+F18+F20</f>
        <v>2883688.6000000006</v>
      </c>
      <c r="G13" s="9">
        <f>G14+G16+G18+G20</f>
        <v>0</v>
      </c>
      <c r="H13" s="31"/>
      <c r="I13" s="40"/>
      <c r="J13" s="41"/>
      <c r="K13" s="41"/>
      <c r="L13" s="41"/>
      <c r="M13" s="41"/>
    </row>
    <row r="14" spans="1:13" ht="48.75" customHeight="1">
      <c r="A14" s="4">
        <v>2.3</v>
      </c>
      <c r="B14" s="5" t="s">
        <v>0</v>
      </c>
      <c r="C14" s="5" t="s">
        <v>39</v>
      </c>
      <c r="D14" s="6">
        <f>D15</f>
        <v>0</v>
      </c>
      <c r="E14" s="6">
        <f>E15</f>
        <v>0</v>
      </c>
      <c r="F14" s="18">
        <f>F15</f>
        <v>0</v>
      </c>
      <c r="G14" s="6">
        <f>G15</f>
        <v>0</v>
      </c>
      <c r="H14" s="31"/>
      <c r="I14" s="40"/>
      <c r="J14" s="29"/>
      <c r="K14" s="29"/>
      <c r="L14" s="29"/>
      <c r="M14" s="29"/>
    </row>
    <row r="15" spans="1:13" ht="16.5" customHeight="1">
      <c r="A15" s="4"/>
      <c r="B15" s="5" t="s">
        <v>83</v>
      </c>
      <c r="C15" s="5" t="s">
        <v>143</v>
      </c>
      <c r="D15" s="6"/>
      <c r="E15" s="6"/>
      <c r="F15" s="18"/>
      <c r="G15" s="6"/>
      <c r="H15" s="31"/>
      <c r="I15" s="40"/>
      <c r="J15" s="29"/>
      <c r="K15" s="29"/>
      <c r="L15" s="29"/>
      <c r="M15" s="29"/>
    </row>
    <row r="16" spans="1:13" ht="50.25" customHeight="1">
      <c r="A16" s="4">
        <v>2.4</v>
      </c>
      <c r="B16" s="5" t="s">
        <v>45</v>
      </c>
      <c r="C16" s="5" t="s">
        <v>33</v>
      </c>
      <c r="D16" s="6">
        <f>D17</f>
        <v>0</v>
      </c>
      <c r="E16" s="6">
        <f>E17</f>
        <v>0</v>
      </c>
      <c r="F16" s="18">
        <f>F17</f>
        <v>0</v>
      </c>
      <c r="G16" s="6">
        <f>G17</f>
        <v>0</v>
      </c>
      <c r="H16" s="31"/>
      <c r="I16" s="40"/>
      <c r="J16" s="29"/>
      <c r="K16" s="29"/>
      <c r="L16" s="29"/>
      <c r="M16" s="29"/>
    </row>
    <row r="17" spans="1:13" ht="15.75" customHeight="1">
      <c r="A17" s="4"/>
      <c r="B17" s="5" t="s">
        <v>84</v>
      </c>
      <c r="C17" s="5" t="s">
        <v>143</v>
      </c>
      <c r="D17" s="6"/>
      <c r="E17" s="6"/>
      <c r="F17" s="18"/>
      <c r="G17" s="6"/>
      <c r="H17" s="31"/>
      <c r="I17" s="40"/>
      <c r="J17" s="29"/>
      <c r="K17" s="29"/>
      <c r="L17" s="29"/>
      <c r="M17" s="29"/>
    </row>
    <row r="18" spans="1:256" ht="60.75" customHeight="1">
      <c r="A18" s="4">
        <v>2.5</v>
      </c>
      <c r="B18" s="5" t="s">
        <v>22</v>
      </c>
      <c r="C18" s="5" t="s">
        <v>10</v>
      </c>
      <c r="D18" s="6">
        <f>D19</f>
        <v>2752000</v>
      </c>
      <c r="E18" s="6">
        <f>E19</f>
        <v>0</v>
      </c>
      <c r="F18" s="18">
        <f>F19</f>
        <v>2751488.6000000006</v>
      </c>
      <c r="G18" s="6">
        <f>G19</f>
        <v>0</v>
      </c>
      <c r="H18" s="31"/>
      <c r="I18" s="40"/>
      <c r="J18" s="29"/>
      <c r="K18" s="29"/>
      <c r="L18" s="29"/>
      <c r="M18" s="29"/>
      <c r="IV18">
        <f>SUM(A18:IU18)</f>
        <v>5503491.100000001</v>
      </c>
    </row>
    <row r="19" spans="1:13" ht="18" customHeight="1">
      <c r="A19" s="4"/>
      <c r="B19" s="5" t="s">
        <v>85</v>
      </c>
      <c r="C19" s="5" t="s">
        <v>143</v>
      </c>
      <c r="D19" s="18">
        <f>2646000+106000</f>
        <v>2752000</v>
      </c>
      <c r="E19" s="6"/>
      <c r="F19" s="18">
        <f>386179.12+118689.31+6789.99+14781.48+65309.01+76256.32+9735.75+6700+7300+35000+105353.95+4388.79+6314.03+20343.25+40000+16000+25000+37923.95+7590.79+23668.02+72778.07+60268+229432.74+38863.76+13378.5+28373.94+30000+25673.29+114011.46+13398.83+15351.7+49369+80361.86+26270.98+42000+21776.29+85790.74+87966+11028.25+2500.8+128461.39+34881.69+182+30000+48400+75741.89+27773.72+15000+50000+6550+19365.31+191839.84+36122.79+6252+19000</f>
        <v>2751488.6000000006</v>
      </c>
      <c r="G19" s="6"/>
      <c r="H19" s="31"/>
      <c r="I19" s="40"/>
      <c r="J19" s="29"/>
      <c r="K19" s="29"/>
      <c r="L19" s="29"/>
      <c r="M19" s="29"/>
    </row>
    <row r="20" spans="1:13" ht="24" customHeight="1">
      <c r="A20" s="4">
        <v>2.16</v>
      </c>
      <c r="B20" s="5" t="s">
        <v>3</v>
      </c>
      <c r="C20" s="5" t="s">
        <v>18</v>
      </c>
      <c r="D20" s="6">
        <f>D21</f>
        <v>132200</v>
      </c>
      <c r="E20" s="6">
        <f>E21</f>
        <v>0</v>
      </c>
      <c r="F20" s="18">
        <f>F21</f>
        <v>132200</v>
      </c>
      <c r="G20" s="6">
        <f>G21</f>
        <v>0</v>
      </c>
      <c r="H20" s="31"/>
      <c r="I20" s="40"/>
      <c r="J20" s="40"/>
      <c r="K20" s="29"/>
      <c r="L20" s="29"/>
      <c r="M20" s="29"/>
    </row>
    <row r="21" spans="1:13" ht="18.75" customHeight="1">
      <c r="A21" s="4"/>
      <c r="B21" s="5" t="s">
        <v>86</v>
      </c>
      <c r="C21" s="5" t="s">
        <v>143</v>
      </c>
      <c r="D21" s="6">
        <f>129000+3200</f>
        <v>132200</v>
      </c>
      <c r="E21" s="6"/>
      <c r="F21" s="18">
        <f>31517.4+5000+8501.7+2041+5000+2128+9078.99+565.04+3023+92.29+5000+7242.04+1851+5000+11206.99+14045.45+2564+5000+9078.99+4264.11</f>
        <v>132200</v>
      </c>
      <c r="G21" s="6"/>
      <c r="H21" s="31"/>
      <c r="I21" s="40"/>
      <c r="J21" s="29"/>
      <c r="K21" s="29"/>
      <c r="L21" s="29"/>
      <c r="M21" s="29"/>
    </row>
    <row r="22" spans="1:13" ht="54" customHeight="1">
      <c r="A22" s="4"/>
      <c r="B22" s="28" t="s">
        <v>191</v>
      </c>
      <c r="C22" s="28" t="s">
        <v>192</v>
      </c>
      <c r="D22" s="12">
        <f>D23</f>
        <v>40000</v>
      </c>
      <c r="E22" s="12">
        <f>E23+E28+E38+E46+E49+E54+E57+E61+E65+E72+E75+E80+E84+E93</f>
        <v>0</v>
      </c>
      <c r="F22" s="19">
        <f>F23</f>
        <v>40000</v>
      </c>
      <c r="G22" s="12">
        <f>G23+G28+G38+G46+G49+G54+G57+G61+G65+G72+G75+G80+G84+G93</f>
        <v>0</v>
      </c>
      <c r="H22" s="31"/>
      <c r="I22" s="40"/>
      <c r="J22" s="29"/>
      <c r="K22" s="29"/>
      <c r="L22" s="29"/>
      <c r="M22" s="29"/>
    </row>
    <row r="23" spans="1:13" ht="60.75" customHeight="1">
      <c r="A23" s="7"/>
      <c r="B23" s="8" t="s">
        <v>22</v>
      </c>
      <c r="C23" s="5" t="s">
        <v>10</v>
      </c>
      <c r="D23" s="20">
        <f>D24</f>
        <v>40000</v>
      </c>
      <c r="E23" s="9">
        <f>E24+E26+E27+E28+E30+E31</f>
        <v>0</v>
      </c>
      <c r="F23" s="20">
        <f>F24</f>
        <v>40000</v>
      </c>
      <c r="G23" s="9">
        <f>G24+G26+G27+G28+G30+G31</f>
        <v>0</v>
      </c>
      <c r="H23" s="31"/>
      <c r="I23" s="40"/>
      <c r="J23" s="29"/>
      <c r="K23" s="29"/>
      <c r="L23" s="29"/>
      <c r="M23" s="29"/>
    </row>
    <row r="24" spans="1:13" ht="18.75" customHeight="1">
      <c r="A24" s="4"/>
      <c r="B24" s="5" t="s">
        <v>193</v>
      </c>
      <c r="C24" s="5" t="s">
        <v>194</v>
      </c>
      <c r="D24" s="18">
        <v>40000</v>
      </c>
      <c r="E24" s="6"/>
      <c r="F24" s="18">
        <f>26728+13272</f>
        <v>40000</v>
      </c>
      <c r="G24" s="6"/>
      <c r="H24" s="31"/>
      <c r="I24" s="40"/>
      <c r="J24" s="29"/>
      <c r="K24" s="29"/>
      <c r="L24" s="29"/>
      <c r="M24" s="29"/>
    </row>
    <row r="25" spans="1:13" ht="59.25" customHeight="1">
      <c r="A25" s="4"/>
      <c r="B25" s="10" t="s">
        <v>51</v>
      </c>
      <c r="C25" s="10" t="s">
        <v>65</v>
      </c>
      <c r="D25" s="12">
        <f>D26+D28+D30+D32</f>
        <v>871000</v>
      </c>
      <c r="E25" s="12">
        <f>E26+E28+E30+E32</f>
        <v>0</v>
      </c>
      <c r="F25" s="19">
        <f>F26+F28+F30+F32</f>
        <v>870367.61</v>
      </c>
      <c r="G25" s="12">
        <f>G26+G28+G30+G32</f>
        <v>0</v>
      </c>
      <c r="H25" s="31"/>
      <c r="I25" s="40"/>
      <c r="J25" s="29"/>
      <c r="K25" s="29"/>
      <c r="L25" s="29"/>
      <c r="M25" s="29"/>
    </row>
    <row r="26" spans="1:13" ht="42" customHeight="1">
      <c r="A26" s="4">
        <v>2.3</v>
      </c>
      <c r="B26" s="5" t="s">
        <v>0</v>
      </c>
      <c r="C26" s="5" t="s">
        <v>39</v>
      </c>
      <c r="D26" s="6">
        <f>D27</f>
        <v>0</v>
      </c>
      <c r="E26" s="6">
        <f>E27</f>
        <v>0</v>
      </c>
      <c r="F26" s="18">
        <f>F27</f>
        <v>0</v>
      </c>
      <c r="G26" s="6">
        <f>G27</f>
        <v>0</v>
      </c>
      <c r="H26" s="31"/>
      <c r="I26" s="40"/>
      <c r="J26" s="29"/>
      <c r="K26" s="29"/>
      <c r="L26" s="29"/>
      <c r="M26" s="29"/>
    </row>
    <row r="27" spans="1:13" ht="15.75" customHeight="1">
      <c r="A27" s="4"/>
      <c r="B27" s="5" t="s">
        <v>87</v>
      </c>
      <c r="C27" s="5" t="s">
        <v>144</v>
      </c>
      <c r="D27" s="6"/>
      <c r="E27" s="6"/>
      <c r="F27" s="18"/>
      <c r="G27" s="6"/>
      <c r="H27" s="31"/>
      <c r="I27" s="40"/>
      <c r="J27" s="29"/>
      <c r="K27" s="29"/>
      <c r="L27" s="29"/>
      <c r="M27" s="29"/>
    </row>
    <row r="28" spans="1:13" ht="48.75" customHeight="1">
      <c r="A28" s="4">
        <v>2.4</v>
      </c>
      <c r="B28" s="5" t="s">
        <v>45</v>
      </c>
      <c r="C28" s="5" t="s">
        <v>33</v>
      </c>
      <c r="D28" s="6">
        <f>D29</f>
        <v>0</v>
      </c>
      <c r="E28" s="6">
        <f>E29</f>
        <v>0</v>
      </c>
      <c r="F28" s="18">
        <f>F29</f>
        <v>0</v>
      </c>
      <c r="G28" s="6">
        <f>G29</f>
        <v>0</v>
      </c>
      <c r="H28" s="31"/>
      <c r="I28" s="40"/>
      <c r="J28" s="29"/>
      <c r="K28" s="29"/>
      <c r="L28" s="29"/>
      <c r="M28" s="29"/>
    </row>
    <row r="29" spans="1:13" ht="15.75" customHeight="1">
      <c r="A29" s="4"/>
      <c r="B29" s="5" t="s">
        <v>88</v>
      </c>
      <c r="C29" s="5" t="s">
        <v>144</v>
      </c>
      <c r="D29" s="6"/>
      <c r="E29" s="6"/>
      <c r="F29" s="18"/>
      <c r="G29" s="6"/>
      <c r="H29" s="31"/>
      <c r="I29" s="40"/>
      <c r="J29" s="29"/>
      <c r="K29" s="29"/>
      <c r="L29" s="29"/>
      <c r="M29" s="29"/>
    </row>
    <row r="30" spans="1:13" ht="48.75" customHeight="1">
      <c r="A30" s="4">
        <v>2.5</v>
      </c>
      <c r="B30" s="5" t="s">
        <v>22</v>
      </c>
      <c r="C30" s="5" t="s">
        <v>10</v>
      </c>
      <c r="D30" s="18">
        <f>D31</f>
        <v>831000</v>
      </c>
      <c r="E30" s="6">
        <f>E31</f>
        <v>0</v>
      </c>
      <c r="F30" s="18">
        <f>F31</f>
        <v>830367.61</v>
      </c>
      <c r="G30" s="6">
        <f>G31</f>
        <v>0</v>
      </c>
      <c r="H30" s="31"/>
      <c r="I30" s="40"/>
      <c r="J30" s="29"/>
      <c r="K30" s="29"/>
      <c r="L30" s="29"/>
      <c r="M30" s="29"/>
    </row>
    <row r="31" spans="1:13" ht="18" customHeight="1">
      <c r="A31" s="4"/>
      <c r="B31" s="5" t="s">
        <v>89</v>
      </c>
      <c r="C31" s="5" t="s">
        <v>144</v>
      </c>
      <c r="D31" s="18">
        <f>799000+32000</f>
        <v>831000</v>
      </c>
      <c r="E31" s="6"/>
      <c r="F31" s="18">
        <f>110712.41+30863.8+15431.9+45616.69+2969.2+14406.24+45035.82+17530.02+53744.12+3082.8+2469.1+85074.97+58232.88+5883.84+58203.8+47771.88+8756.78+68922.78+6456.36+60383.29+16826.44+13512.44+58480.05</f>
        <v>830367.61</v>
      </c>
      <c r="G31" s="6"/>
      <c r="H31" s="31"/>
      <c r="I31" s="40"/>
      <c r="J31" s="29"/>
      <c r="K31" s="29"/>
      <c r="L31" s="29"/>
      <c r="M31" s="29"/>
    </row>
    <row r="32" spans="1:13" ht="25.5" customHeight="1">
      <c r="A32" s="4">
        <v>2.16</v>
      </c>
      <c r="B32" s="5" t="s">
        <v>3</v>
      </c>
      <c r="C32" s="5" t="s">
        <v>18</v>
      </c>
      <c r="D32" s="6">
        <f>D33</f>
        <v>40000</v>
      </c>
      <c r="E32" s="6">
        <f>E33</f>
        <v>0</v>
      </c>
      <c r="F32" s="18">
        <f>F33</f>
        <v>40000</v>
      </c>
      <c r="G32" s="6">
        <f>G33</f>
        <v>0</v>
      </c>
      <c r="H32" s="31"/>
      <c r="I32" s="40"/>
      <c r="J32" s="29"/>
      <c r="K32" s="29"/>
      <c r="L32" s="29"/>
      <c r="M32" s="29"/>
    </row>
    <row r="33" spans="1:13" ht="18.75" customHeight="1">
      <c r="A33" s="4"/>
      <c r="B33" s="5" t="s">
        <v>90</v>
      </c>
      <c r="C33" s="5" t="s">
        <v>144</v>
      </c>
      <c r="D33" s="6">
        <f>39000+1000</f>
        <v>40000</v>
      </c>
      <c r="E33" s="6"/>
      <c r="F33" s="18">
        <f>9482.6+4741.33+4943.94+7022.78+4299.08+1262.82+5384.84+2862.61</f>
        <v>40000</v>
      </c>
      <c r="G33" s="6"/>
      <c r="H33" s="31"/>
      <c r="I33" s="40"/>
      <c r="J33" s="29"/>
      <c r="K33" s="29"/>
      <c r="L33" s="29"/>
      <c r="M33" s="29"/>
    </row>
    <row r="34" spans="1:13" ht="51.75" customHeight="1">
      <c r="A34" s="4"/>
      <c r="B34" s="28" t="s">
        <v>189</v>
      </c>
      <c r="C34" s="28" t="s">
        <v>190</v>
      </c>
      <c r="D34" s="12">
        <f>D35</f>
        <v>0</v>
      </c>
      <c r="E34" s="12">
        <f>E35+E40+E50+E58+E61+E66+E69+E73+E77+E84+E87+E92+E96+E105</f>
        <v>0</v>
      </c>
      <c r="F34" s="19" t="s">
        <v>34</v>
      </c>
      <c r="G34" s="12">
        <f>G35+G40+G50+G58+G61+G66+G69+G73+G77+G84+G87+G92+G96+G105</f>
        <v>0</v>
      </c>
      <c r="H34" s="31"/>
      <c r="I34" s="40"/>
      <c r="J34" s="29"/>
      <c r="K34" s="29"/>
      <c r="L34" s="29"/>
      <c r="M34" s="29"/>
    </row>
    <row r="35" spans="1:13" ht="18.75" customHeight="1">
      <c r="A35" s="7"/>
      <c r="B35" s="8" t="s">
        <v>27</v>
      </c>
      <c r="C35" s="8" t="s">
        <v>43</v>
      </c>
      <c r="D35" s="20">
        <f>D36</f>
        <v>0</v>
      </c>
      <c r="E35" s="9">
        <f>E36+E38+E39+E40+E42+E43</f>
        <v>0</v>
      </c>
      <c r="F35" s="20">
        <f>F36</f>
        <v>0</v>
      </c>
      <c r="G35" s="9">
        <f>G36+G38+G39+G40+G42+G43</f>
        <v>0</v>
      </c>
      <c r="H35" s="31"/>
      <c r="I35" s="40"/>
      <c r="J35" s="29"/>
      <c r="K35" s="29"/>
      <c r="L35" s="29"/>
      <c r="M35" s="29"/>
    </row>
    <row r="36" spans="1:13" ht="18.75" customHeight="1">
      <c r="A36" s="4"/>
      <c r="B36" s="5" t="s">
        <v>120</v>
      </c>
      <c r="C36" s="5" t="s">
        <v>148</v>
      </c>
      <c r="D36" s="18">
        <f>10000000+1400000-11400000</f>
        <v>0</v>
      </c>
      <c r="E36" s="6"/>
      <c r="F36" s="18"/>
      <c r="G36" s="6"/>
      <c r="H36" s="31"/>
      <c r="I36" s="40"/>
      <c r="J36" s="29"/>
      <c r="K36" s="29"/>
      <c r="L36" s="29"/>
      <c r="M36" s="29"/>
    </row>
    <row r="37" spans="1:13" ht="18.75" customHeight="1">
      <c r="A37" s="4"/>
      <c r="B37" s="5"/>
      <c r="C37" s="5"/>
      <c r="D37" s="6"/>
      <c r="E37" s="6"/>
      <c r="F37" s="18"/>
      <c r="G37" s="6"/>
      <c r="H37" s="31"/>
      <c r="I37" s="40"/>
      <c r="J37" s="29"/>
      <c r="K37" s="29"/>
      <c r="L37" s="29"/>
      <c r="M37" s="29"/>
    </row>
    <row r="38" spans="1:13" ht="40.5" customHeight="1">
      <c r="A38" s="4"/>
      <c r="B38" s="10" t="s">
        <v>52</v>
      </c>
      <c r="C38" s="10" t="s">
        <v>66</v>
      </c>
      <c r="D38" s="12">
        <f>D39+D44+D54+D62+D65+D70+D73+D77+D81+D88+D91+D96+D100+D109</f>
        <v>47052284.7</v>
      </c>
      <c r="E38" s="12">
        <f>E39+E44+E54+E62+E65+E70+E73+E77+E81+E88+E91+E96+E100+E109</f>
        <v>0</v>
      </c>
      <c r="F38" s="19">
        <f>F39+F44+F54+F62+F65+F70+F73+F77+F81+F88+F91+F96+F100+F109</f>
        <v>46428685.099999994</v>
      </c>
      <c r="G38" s="12">
        <f>G39+G44+G54+G62+G65+G70+G73+G77+G81+G88+G91+G96+G100+G109</f>
        <v>0</v>
      </c>
      <c r="H38" s="31"/>
      <c r="I38" s="40"/>
      <c r="J38" s="29"/>
      <c r="K38" s="29"/>
      <c r="L38" s="29"/>
      <c r="M38" s="29"/>
    </row>
    <row r="39" spans="1:13" s="2" customFormat="1" ht="25.5" customHeight="1">
      <c r="A39" s="7">
        <v>2.4</v>
      </c>
      <c r="B39" s="8" t="s">
        <v>176</v>
      </c>
      <c r="C39" s="24" t="s">
        <v>181</v>
      </c>
      <c r="D39" s="9">
        <f>D40+D41+D42+D43</f>
        <v>0</v>
      </c>
      <c r="E39" s="9">
        <f>E40+E41+E42+E43</f>
        <v>0</v>
      </c>
      <c r="F39" s="20">
        <f>F40+F41+F42+F43</f>
        <v>0</v>
      </c>
      <c r="G39" s="9">
        <f>G40+G41+G42+G43</f>
        <v>0</v>
      </c>
      <c r="H39" s="31"/>
      <c r="I39" s="40"/>
      <c r="J39" s="41"/>
      <c r="K39" s="41"/>
      <c r="L39" s="41"/>
      <c r="M39" s="41"/>
    </row>
    <row r="40" spans="1:13" ht="18.75" customHeight="1">
      <c r="A40" s="4"/>
      <c r="B40" s="5" t="s">
        <v>177</v>
      </c>
      <c r="C40" s="5" t="s">
        <v>145</v>
      </c>
      <c r="D40" s="6"/>
      <c r="E40" s="6"/>
      <c r="F40" s="18"/>
      <c r="G40" s="6"/>
      <c r="H40" s="31"/>
      <c r="I40" s="40"/>
      <c r="J40" s="29"/>
      <c r="K40" s="29"/>
      <c r="L40" s="29"/>
      <c r="M40" s="29"/>
    </row>
    <row r="41" spans="1:13" ht="18.75" customHeight="1">
      <c r="A41" s="4"/>
      <c r="B41" s="5" t="s">
        <v>178</v>
      </c>
      <c r="C41" s="5" t="s">
        <v>146</v>
      </c>
      <c r="D41" s="6"/>
      <c r="E41" s="6"/>
      <c r="F41" s="18"/>
      <c r="G41" s="6"/>
      <c r="H41" s="31"/>
      <c r="I41" s="40"/>
      <c r="J41" s="29"/>
      <c r="K41" s="29"/>
      <c r="L41" s="29"/>
      <c r="M41" s="29"/>
    </row>
    <row r="42" spans="1:13" ht="17.25" customHeight="1">
      <c r="A42" s="4"/>
      <c r="B42" s="5" t="s">
        <v>179</v>
      </c>
      <c r="C42" s="5" t="s">
        <v>147</v>
      </c>
      <c r="D42" s="18"/>
      <c r="E42" s="6"/>
      <c r="F42" s="18"/>
      <c r="G42" s="6"/>
      <c r="H42" s="31"/>
      <c r="I42" s="40"/>
      <c r="J42" s="29"/>
      <c r="K42" s="29"/>
      <c r="L42" s="29"/>
      <c r="M42" s="29"/>
    </row>
    <row r="43" spans="1:13" ht="18.75" customHeight="1">
      <c r="A43" s="4"/>
      <c r="B43" s="5" t="s">
        <v>180</v>
      </c>
      <c r="C43" s="5" t="s">
        <v>148</v>
      </c>
      <c r="D43" s="6">
        <f>297000+73000-220000-150000</f>
        <v>0</v>
      </c>
      <c r="E43" s="6"/>
      <c r="F43" s="18"/>
      <c r="G43" s="6"/>
      <c r="H43" s="31"/>
      <c r="I43" s="40"/>
      <c r="J43" s="29"/>
      <c r="K43" s="29"/>
      <c r="L43" s="29"/>
      <c r="M43" s="29"/>
    </row>
    <row r="44" spans="1:13" s="2" customFormat="1" ht="73.5" customHeight="1">
      <c r="A44" s="7">
        <v>2.5</v>
      </c>
      <c r="B44" s="8" t="s">
        <v>22</v>
      </c>
      <c r="C44" s="8" t="s">
        <v>10</v>
      </c>
      <c r="D44" s="9">
        <f>D45+D46+D47+D48+D49+D50+D52+D53+D51</f>
        <v>2683000</v>
      </c>
      <c r="E44" s="9">
        <f>E45+E46+E47+E48+E49+E50+E52+E53</f>
        <v>0</v>
      </c>
      <c r="F44" s="20">
        <f>F45+F46+F47+F48+F49+F50+F52+F53+F51</f>
        <v>2678372.5999999987</v>
      </c>
      <c r="G44" s="9">
        <f>G45+G46+G47+G48+G49+G50+G52+G53</f>
        <v>0</v>
      </c>
      <c r="H44" s="31"/>
      <c r="I44" s="40"/>
      <c r="J44" s="41"/>
      <c r="K44" s="41"/>
      <c r="L44" s="41"/>
      <c r="M44" s="41"/>
    </row>
    <row r="45" spans="1:13" ht="18" customHeight="1">
      <c r="A45" s="4"/>
      <c r="B45" s="5" t="s">
        <v>91</v>
      </c>
      <c r="C45" s="5" t="s">
        <v>145</v>
      </c>
      <c r="D45" s="18">
        <f>158000-2000</f>
        <v>156000</v>
      </c>
      <c r="E45" s="6"/>
      <c r="F45" s="18">
        <f>348.58+10298.66+10922.48+63.27+12514.18+80.29+11015.07+36.1+11396.59+13494.5+13.38+198.32+14043.11+13127.56+212.33+14506.99+189.8+14384.63+14352+14525.93</f>
        <v>155723.77000000002</v>
      </c>
      <c r="G45" s="6"/>
      <c r="H45" s="31"/>
      <c r="I45" s="40"/>
      <c r="J45" s="29"/>
      <c r="K45" s="29"/>
      <c r="L45" s="29"/>
      <c r="M45" s="29"/>
    </row>
    <row r="46" spans="1:13" ht="14.25" customHeight="1">
      <c r="A46" s="4"/>
      <c r="B46" s="5" t="s">
        <v>92</v>
      </c>
      <c r="C46" s="5" t="s">
        <v>146</v>
      </c>
      <c r="D46" s="18">
        <f>1000</f>
        <v>1000</v>
      </c>
      <c r="E46" s="6"/>
      <c r="F46" s="18">
        <f>868</f>
        <v>868</v>
      </c>
      <c r="G46" s="6"/>
      <c r="H46" s="31"/>
      <c r="I46" s="40"/>
      <c r="J46" s="29"/>
      <c r="K46" s="29"/>
      <c r="L46" s="29"/>
      <c r="M46" s="29"/>
    </row>
    <row r="47" spans="1:13" ht="17.25" customHeight="1">
      <c r="A47" s="4"/>
      <c r="B47" s="5" t="s">
        <v>93</v>
      </c>
      <c r="C47" s="5" t="s">
        <v>147</v>
      </c>
      <c r="D47" s="18">
        <f>587000-30000-22000+87000</f>
        <v>622000</v>
      </c>
      <c r="E47" s="6"/>
      <c r="F47" s="18">
        <f>10000+22159.76+51.96+121.5+23687.44+19.44+324.72+16358.68+1089.27+5000+4578.61+10000+108+51.96+288.64+19.44+27196.07+16358.68+22159.76+10000+2809.05+10000+162+51.96+16358.68+432.96+19.44+22159.76+27196.07+216.14+8416.49+10000-1354+10000+27196.07+162+51.96+19.44+432.96+22159.76+1026.64+10000+23569.93+19205.13+418.5+51.96+252.56+19.44+94.5+10000+16358.68+14178.15+4838.76+10000+94.5+51.96+19.44+252.56-0.01+10000+81+19.44+1129.04+216.48+51.96+20.22+53.83+70.2+186.9+5000+5000+53.83+20.22+224.28+84.24+5000+20.22+53.83+196.56+523.32+20802.36+20971.03+261.66+20.22+98.28+15356.52+540.78+53.83+10000+10000+23031.87+70.2+28266.39+186.9+17002.46+20.22+53.83+10000</f>
        <v>621239.49</v>
      </c>
      <c r="G47" s="6"/>
      <c r="H47" s="31"/>
      <c r="I47" s="40"/>
      <c r="J47" s="29"/>
      <c r="K47" s="29"/>
      <c r="L47" s="29"/>
      <c r="M47" s="29"/>
    </row>
    <row r="48" spans="1:13" ht="17.25" customHeight="1">
      <c r="A48" s="4"/>
      <c r="B48" s="5" t="s">
        <v>124</v>
      </c>
      <c r="C48" s="5" t="s">
        <v>149</v>
      </c>
      <c r="D48" s="18"/>
      <c r="E48" s="6"/>
      <c r="F48" s="18"/>
      <c r="G48" s="6"/>
      <c r="H48" s="31"/>
      <c r="I48" s="40"/>
      <c r="J48" s="29"/>
      <c r="K48" s="29"/>
      <c r="L48" s="29"/>
      <c r="M48" s="29"/>
    </row>
    <row r="49" spans="1:13" ht="16.5" customHeight="1">
      <c r="A49" s="4"/>
      <c r="B49" s="5" t="s">
        <v>94</v>
      </c>
      <c r="C49" s="5" t="s">
        <v>148</v>
      </c>
      <c r="D49" s="18">
        <f>677000+60000+28000+50000+3000+100000-20000-21000</f>
        <v>877000</v>
      </c>
      <c r="E49" s="6"/>
      <c r="F49" s="18">
        <f>97865.36+2877.32+2607.71+143.11+1149.51+1112+500+1599+97913.99+94450.6+143.11+10005+2607.71+280374.9+2877.32+2979.9+6000+3110+2607.71+2877.32+388.44+7946.9+2979.9+6000+2877.32+2607.71+388.44+6241+2978.89+1944+5700+1149.51+2607.71+2877.32+153.33+72856+2557+2979.91+6000+2607.71+2877.32+153.33+3350+6240+13004+2979.89+153.33+2607.71+2877.32+2978.9+6001+197.33+2607.71+1164.3+2877.32+1000+6000+2979.89+3820+197.33+2877.32+2607.71+2979.89+6000+197.33+2877.32+2607.71+6001+2051+3315+2778.88+2607.71+197.33+2877.32+300+1200+6000+2778.88+2607.71+2877.32+6000+2779.88</f>
        <v>876228.649999999</v>
      </c>
      <c r="G49" s="6"/>
      <c r="H49" s="31"/>
      <c r="I49" s="40"/>
      <c r="J49" s="29"/>
      <c r="K49" s="29"/>
      <c r="L49" s="29"/>
      <c r="M49" s="29"/>
    </row>
    <row r="50" spans="1:13" ht="16.5" customHeight="1">
      <c r="A50" s="4"/>
      <c r="B50" s="5" t="s">
        <v>95</v>
      </c>
      <c r="C50" s="5" t="s">
        <v>150</v>
      </c>
      <c r="D50" s="18">
        <f>231000-1000-40000+30000+19000+200000-103000+30000+5000+9000+15000+11000+2000+23000+21000+2000+5000</f>
        <v>459000</v>
      </c>
      <c r="E50" s="6"/>
      <c r="F50" s="18">
        <f>6562+6758.39+2979.89+6000+5000+6758.39+2565+1665+25000+2482.59+2482.59+6758.39+5006+3050+864+765+3341.25+5000+2482.59+5404+8398+3000+4444.68+6758.39+600+4275.9+8610+3150+326.88+1100+6758.39+75.5+375+1450+400+2000+6457+102+2000+6758.39+5400+1000+830.64+1500+6456.98+13004+1100+4536+6758.39+6000+175+1845+7349+3650.29+3464.29+314+6758.39+5823.53+740.78+19762.39+7200+1100+41148+2000+17980+9255.98+60+600+1080+9450+6758.39+5029+13004+10425.56+1200+197.33+10000+4368.9+6758.39+6758.39+1100+26056+12070.35</f>
        <v>458034.1800000001</v>
      </c>
      <c r="G50" s="6"/>
      <c r="H50" s="31"/>
      <c r="I50" s="40"/>
      <c r="J50" s="29"/>
      <c r="K50" s="29"/>
      <c r="L50" s="29"/>
      <c r="M50" s="29"/>
    </row>
    <row r="51" spans="1:13" ht="16.5" customHeight="1">
      <c r="A51" s="4"/>
      <c r="B51" s="5" t="s">
        <v>140</v>
      </c>
      <c r="C51" s="5" t="s">
        <v>153</v>
      </c>
      <c r="D51" s="18">
        <f>1000+11000-2000-9000</f>
        <v>1000</v>
      </c>
      <c r="E51" s="6"/>
      <c r="F51" s="18">
        <f>315</f>
        <v>315</v>
      </c>
      <c r="G51" s="6"/>
      <c r="H51" s="31"/>
      <c r="I51" s="40"/>
      <c r="J51" s="29"/>
      <c r="K51" s="29"/>
      <c r="L51" s="29"/>
      <c r="M51" s="29"/>
    </row>
    <row r="52" spans="1:13" ht="16.5" customHeight="1">
      <c r="A52" s="4"/>
      <c r="B52" s="5" t="s">
        <v>125</v>
      </c>
      <c r="C52" s="5" t="s">
        <v>151</v>
      </c>
      <c r="D52" s="18">
        <f>100000+46000-8000</f>
        <v>138000</v>
      </c>
      <c r="E52" s="6"/>
      <c r="F52" s="18">
        <f>37210+3370+22600+74617</f>
        <v>137797</v>
      </c>
      <c r="G52" s="6"/>
      <c r="H52" s="31"/>
      <c r="I52" s="40"/>
      <c r="J52" s="29"/>
      <c r="K52" s="29"/>
      <c r="L52" s="29"/>
      <c r="M52" s="29"/>
    </row>
    <row r="53" spans="1:13" ht="16.5" customHeight="1">
      <c r="A53" s="4"/>
      <c r="B53" s="5" t="s">
        <v>126</v>
      </c>
      <c r="C53" s="5" t="s">
        <v>152</v>
      </c>
      <c r="D53" s="18">
        <f>542000-60000-46000-15000+8000</f>
        <v>429000</v>
      </c>
      <c r="E53" s="6"/>
      <c r="F53" s="18">
        <f>9650+3356.5+7430+5100.64+38100+2566+814.74+5570.74+3528+40+3910+8927+1382+4704+4617.45+1640+6000+7004+529+939.56+1039+2937+2860.09+1095+9655+885+6625+4476.05+1427+1050+6001+7300+240+9900+2701+1040+5870+11239+200+9670.72+8487.68+2540+563+2682.29+1854+1592-3370+240+6999.8+5333.57+3798+5888.16+960+4988+585+580+5824.52+1660+340+5106.4+4033+4970+1760+7260+924+2152+1280+9418.39+1114.02+3426+7498.72+14043.26+280+100+5250.18+3000.2+350+480+957+1330+8215.29+5821+3058.49+10639.98+240+848+530+8715+1361+465+4020+738+240+852+8758.79+3671.47+2877+1900.88+3571.5+400+15000+4867.33+4000.1+1466+7610</f>
        <v>428166.5099999999</v>
      </c>
      <c r="G53" s="6"/>
      <c r="H53" s="31"/>
      <c r="I53" s="40"/>
      <c r="J53" s="29"/>
      <c r="K53" s="29"/>
      <c r="L53" s="29"/>
      <c r="M53" s="29"/>
    </row>
    <row r="54" spans="1:13" s="2" customFormat="1" ht="26.25" customHeight="1">
      <c r="A54" s="7">
        <v>2.16</v>
      </c>
      <c r="B54" s="8" t="s">
        <v>3</v>
      </c>
      <c r="C54" s="8" t="s">
        <v>18</v>
      </c>
      <c r="D54" s="9">
        <f>D55+D56+D57+D58+D59+D60+D61</f>
        <v>16100</v>
      </c>
      <c r="E54" s="9">
        <f>E55+E56+E57+E58+E59+E60+E61</f>
        <v>0</v>
      </c>
      <c r="F54" s="20">
        <f>F55+F56+F57+F58+F59+F60+F61</f>
        <v>16100</v>
      </c>
      <c r="G54" s="9">
        <f>G55+G56+G57+G58+G59+G60+G61</f>
        <v>0</v>
      </c>
      <c r="H54" s="31"/>
      <c r="I54" s="40"/>
      <c r="J54" s="41"/>
      <c r="K54" s="41"/>
      <c r="L54" s="41"/>
      <c r="M54" s="41"/>
    </row>
    <row r="55" spans="1:13" ht="18.75" customHeight="1">
      <c r="A55" s="4"/>
      <c r="B55" s="5" t="s">
        <v>98</v>
      </c>
      <c r="C55" s="5" t="s">
        <v>145</v>
      </c>
      <c r="D55" s="6">
        <v>4000</v>
      </c>
      <c r="E55" s="6"/>
      <c r="F55" s="18">
        <f>4000</f>
        <v>4000</v>
      </c>
      <c r="G55" s="6"/>
      <c r="H55" s="31"/>
      <c r="I55" s="40"/>
      <c r="J55" s="29"/>
      <c r="K55" s="29"/>
      <c r="L55" s="29"/>
      <c r="M55" s="29"/>
    </row>
    <row r="56" spans="1:13" ht="17.25" customHeight="1">
      <c r="A56" s="4"/>
      <c r="B56" s="5" t="s">
        <v>99</v>
      </c>
      <c r="C56" s="5" t="s">
        <v>146</v>
      </c>
      <c r="D56" s="6"/>
      <c r="E56" s="6"/>
      <c r="F56" s="18"/>
      <c r="G56" s="6"/>
      <c r="H56" s="31"/>
      <c r="I56" s="40"/>
      <c r="J56" s="29"/>
      <c r="K56" s="29"/>
      <c r="L56" s="29"/>
      <c r="M56" s="29"/>
    </row>
    <row r="57" spans="1:13" ht="16.5" customHeight="1">
      <c r="A57" s="4"/>
      <c r="B57" s="5" t="s">
        <v>100</v>
      </c>
      <c r="C57" s="5" t="s">
        <v>147</v>
      </c>
      <c r="D57" s="6"/>
      <c r="E57" s="6"/>
      <c r="F57" s="18"/>
      <c r="G57" s="6"/>
      <c r="H57" s="31"/>
      <c r="I57" s="40"/>
      <c r="J57" s="29"/>
      <c r="K57" s="29"/>
      <c r="L57" s="29"/>
      <c r="M57" s="29"/>
    </row>
    <row r="58" spans="1:13" ht="17.25" customHeight="1">
      <c r="A58" s="4"/>
      <c r="B58" s="5" t="s">
        <v>101</v>
      </c>
      <c r="C58" s="5" t="s">
        <v>149</v>
      </c>
      <c r="D58" s="6"/>
      <c r="E58" s="6"/>
      <c r="F58" s="18"/>
      <c r="G58" s="6"/>
      <c r="H58" s="31"/>
      <c r="I58" s="40"/>
      <c r="J58" s="29"/>
      <c r="K58" s="29"/>
      <c r="L58" s="29"/>
      <c r="M58" s="29"/>
    </row>
    <row r="59" spans="1:13" ht="17.25" customHeight="1">
      <c r="A59" s="4"/>
      <c r="B59" s="5" t="s">
        <v>127</v>
      </c>
      <c r="C59" s="5" t="s">
        <v>148</v>
      </c>
      <c r="D59" s="6"/>
      <c r="E59" s="6"/>
      <c r="F59" s="18"/>
      <c r="G59" s="6"/>
      <c r="H59" s="31"/>
      <c r="I59" s="40"/>
      <c r="J59" s="29"/>
      <c r="K59" s="29"/>
      <c r="L59" s="29"/>
      <c r="M59" s="29"/>
    </row>
    <row r="60" spans="1:13" ht="17.25" customHeight="1">
      <c r="A60" s="4"/>
      <c r="B60" s="5" t="s">
        <v>128</v>
      </c>
      <c r="C60" s="5" t="s">
        <v>151</v>
      </c>
      <c r="D60" s="6"/>
      <c r="E60" s="6"/>
      <c r="F60" s="18"/>
      <c r="G60" s="6"/>
      <c r="H60" s="31"/>
      <c r="I60" s="40"/>
      <c r="J60" s="29"/>
      <c r="K60" s="29"/>
      <c r="L60" s="29"/>
      <c r="M60" s="29"/>
    </row>
    <row r="61" spans="1:13" ht="17.25" customHeight="1">
      <c r="A61" s="4"/>
      <c r="B61" s="5" t="s">
        <v>129</v>
      </c>
      <c r="C61" s="5" t="s">
        <v>152</v>
      </c>
      <c r="D61" s="6">
        <v>12100</v>
      </c>
      <c r="E61" s="6"/>
      <c r="F61" s="18">
        <f>5000+5000+2100</f>
        <v>12100</v>
      </c>
      <c r="G61" s="6"/>
      <c r="H61" s="31"/>
      <c r="I61" s="40"/>
      <c r="J61" s="29"/>
      <c r="K61" s="29"/>
      <c r="L61" s="29"/>
      <c r="M61" s="29"/>
    </row>
    <row r="62" spans="1:13" s="2" customFormat="1" ht="48.75" customHeight="1">
      <c r="A62" s="7">
        <v>2.31</v>
      </c>
      <c r="B62" s="8" t="s">
        <v>44</v>
      </c>
      <c r="C62" s="8" t="s">
        <v>1</v>
      </c>
      <c r="D62" s="9">
        <f>D63+D64</f>
        <v>0</v>
      </c>
      <c r="E62" s="9">
        <f>E63+E64</f>
        <v>0</v>
      </c>
      <c r="F62" s="20">
        <f>F63+F64</f>
        <v>0</v>
      </c>
      <c r="G62" s="9">
        <f>G63+G64</f>
        <v>0</v>
      </c>
      <c r="H62" s="31"/>
      <c r="I62" s="40"/>
      <c r="J62" s="41"/>
      <c r="K62" s="41"/>
      <c r="L62" s="41"/>
      <c r="M62" s="41"/>
    </row>
    <row r="63" spans="1:13" ht="16.5" customHeight="1">
      <c r="A63" s="4"/>
      <c r="B63" s="5" t="s">
        <v>96</v>
      </c>
      <c r="C63" s="5" t="s">
        <v>148</v>
      </c>
      <c r="D63" s="6">
        <f>50000-50000</f>
        <v>0</v>
      </c>
      <c r="E63" s="6"/>
      <c r="F63" s="18"/>
      <c r="G63" s="6"/>
      <c r="H63" s="31"/>
      <c r="I63" s="40"/>
      <c r="J63" s="29"/>
      <c r="K63" s="29"/>
      <c r="L63" s="29"/>
      <c r="M63" s="29"/>
    </row>
    <row r="64" spans="1:13" ht="17.25" customHeight="1">
      <c r="A64" s="4"/>
      <c r="B64" s="5" t="s">
        <v>97</v>
      </c>
      <c r="C64" s="5" t="s">
        <v>150</v>
      </c>
      <c r="D64" s="6"/>
      <c r="E64" s="6"/>
      <c r="F64" s="18"/>
      <c r="G64" s="6"/>
      <c r="H64" s="31"/>
      <c r="I64" s="40"/>
      <c r="J64" s="29"/>
      <c r="K64" s="29"/>
      <c r="L64" s="29"/>
      <c r="M64" s="29"/>
    </row>
    <row r="65" spans="1:13" s="2" customFormat="1" ht="25.5" customHeight="1">
      <c r="A65" s="7">
        <v>2.44</v>
      </c>
      <c r="B65" s="8" t="s">
        <v>19</v>
      </c>
      <c r="C65" s="8" t="s">
        <v>28</v>
      </c>
      <c r="D65" s="9">
        <f>D66+D67+D69+D68</f>
        <v>8127754</v>
      </c>
      <c r="E65" s="9">
        <f>E67+E68</f>
        <v>0</v>
      </c>
      <c r="F65" s="20">
        <f>F66+F67+F68+F69</f>
        <v>7519506.0200000005</v>
      </c>
      <c r="G65" s="9">
        <f>G67+G68</f>
        <v>0</v>
      </c>
      <c r="H65" s="31"/>
      <c r="I65" s="40"/>
      <c r="J65" s="41"/>
      <c r="K65" s="41"/>
      <c r="L65" s="41"/>
      <c r="M65" s="41"/>
    </row>
    <row r="66" spans="1:13" s="2" customFormat="1" ht="20.25" customHeight="1">
      <c r="A66" s="7"/>
      <c r="B66" s="5" t="s">
        <v>174</v>
      </c>
      <c r="C66" s="5" t="s">
        <v>146</v>
      </c>
      <c r="D66" s="23"/>
      <c r="E66" s="9"/>
      <c r="F66" s="25"/>
      <c r="G66" s="9"/>
      <c r="H66" s="31"/>
      <c r="I66" s="40"/>
      <c r="J66" s="41"/>
      <c r="K66" s="41"/>
      <c r="L66" s="41"/>
      <c r="M66" s="41"/>
    </row>
    <row r="67" spans="1:13" ht="18" customHeight="1">
      <c r="A67" s="4"/>
      <c r="B67" s="5" t="s">
        <v>102</v>
      </c>
      <c r="C67" s="5" t="s">
        <v>148</v>
      </c>
      <c r="D67" s="6">
        <f>1314000+170000+4799500-700000-778000+24000+1629044+849264-849264+817260-561050+750000+123000</f>
        <v>7587754</v>
      </c>
      <c r="E67" s="6"/>
      <c r="F67" s="18">
        <f>4539.24+4463500+199993+810.61+809086+98640+1415.17+530052+882116</f>
        <v>6990152.0200000005</v>
      </c>
      <c r="G67" s="6"/>
      <c r="H67" s="31"/>
      <c r="I67" s="40"/>
      <c r="J67" s="29"/>
      <c r="K67" s="29"/>
      <c r="L67" s="29"/>
      <c r="M67" s="29"/>
    </row>
    <row r="68" spans="1:13" ht="17.25" customHeight="1">
      <c r="A68" s="4"/>
      <c r="B68" s="5" t="s">
        <v>103</v>
      </c>
      <c r="C68" s="5" t="s">
        <v>150</v>
      </c>
      <c r="D68" s="27">
        <f>600000+1600000-2170000</f>
        <v>30000</v>
      </c>
      <c r="E68" s="6"/>
      <c r="F68" s="18">
        <f>22354</f>
        <v>22354</v>
      </c>
      <c r="G68" s="6"/>
      <c r="H68" s="31"/>
      <c r="I68" s="40"/>
      <c r="J68" s="29"/>
      <c r="K68" s="29"/>
      <c r="L68" s="29"/>
      <c r="M68" s="29"/>
    </row>
    <row r="69" spans="1:13" ht="17.25" customHeight="1">
      <c r="A69" s="4"/>
      <c r="B69" s="5" t="s">
        <v>168</v>
      </c>
      <c r="C69" s="5" t="s">
        <v>152</v>
      </c>
      <c r="D69" s="18">
        <f>30000+480000</f>
        <v>510000</v>
      </c>
      <c r="E69" s="6"/>
      <c r="F69" s="18">
        <f>507000</f>
        <v>507000</v>
      </c>
      <c r="G69" s="6"/>
      <c r="H69" s="31"/>
      <c r="I69" s="40"/>
      <c r="J69" s="29"/>
      <c r="K69" s="29"/>
      <c r="L69" s="29"/>
      <c r="M69" s="29"/>
    </row>
    <row r="70" spans="1:13" s="2" customFormat="1" ht="25.5" customHeight="1">
      <c r="A70" s="7">
        <v>2.47</v>
      </c>
      <c r="B70" s="8" t="s">
        <v>11</v>
      </c>
      <c r="C70" s="8" t="s">
        <v>35</v>
      </c>
      <c r="D70" s="9">
        <f>D71+D72</f>
        <v>262146.7</v>
      </c>
      <c r="E70" s="9">
        <f>E71</f>
        <v>0</v>
      </c>
      <c r="F70" s="20">
        <f>F72+F71</f>
        <v>261104.8</v>
      </c>
      <c r="G70" s="9">
        <f>G71</f>
        <v>0</v>
      </c>
      <c r="H70" s="31"/>
      <c r="I70" s="40"/>
      <c r="J70" s="41"/>
      <c r="K70" s="41"/>
      <c r="L70" s="41"/>
      <c r="M70" s="41"/>
    </row>
    <row r="71" spans="1:13" ht="19.5" customHeight="1">
      <c r="A71" s="4"/>
      <c r="B71" s="5" t="s">
        <v>173</v>
      </c>
      <c r="C71" s="5" t="s">
        <v>148</v>
      </c>
      <c r="D71" s="18">
        <f>10800+2246.7+100</f>
        <v>13146.7</v>
      </c>
      <c r="E71" s="6"/>
      <c r="F71" s="18">
        <f>3034.1+1306+8740.7</f>
        <v>13080.800000000001</v>
      </c>
      <c r="G71" s="6"/>
      <c r="H71" s="31"/>
      <c r="I71" s="40"/>
      <c r="J71" s="29"/>
      <c r="K71" s="40"/>
      <c r="L71" s="29"/>
      <c r="M71" s="29"/>
    </row>
    <row r="72" spans="1:13" ht="19.5" customHeight="1">
      <c r="A72" s="4"/>
      <c r="B72" s="5" t="s">
        <v>175</v>
      </c>
      <c r="C72" s="5" t="s">
        <v>150</v>
      </c>
      <c r="D72" s="18">
        <f>77000+10000+66000+20000+15000+27000+10000+15000+9000</f>
        <v>249000</v>
      </c>
      <c r="E72" s="6"/>
      <c r="F72" s="18">
        <f>12000+60000+15000+66000+20000+10000+5000+8500+8500+10000+10000+15000+8024</f>
        <v>248024</v>
      </c>
      <c r="G72" s="6"/>
      <c r="H72" s="31"/>
      <c r="I72" s="40"/>
      <c r="J72" s="29"/>
      <c r="K72" s="29"/>
      <c r="L72" s="29"/>
      <c r="M72" s="29"/>
    </row>
    <row r="73" spans="1:13" s="2" customFormat="1" ht="25.5" customHeight="1">
      <c r="A73" s="7">
        <v>2.48</v>
      </c>
      <c r="B73" s="8" t="s">
        <v>4</v>
      </c>
      <c r="C73" s="8" t="s">
        <v>16</v>
      </c>
      <c r="D73" s="9">
        <f>D74+D75+D76</f>
        <v>253000</v>
      </c>
      <c r="E73" s="9">
        <f>E74+E75+E76</f>
        <v>0</v>
      </c>
      <c r="F73" s="20">
        <f>F74+F75+F76</f>
        <v>252040</v>
      </c>
      <c r="G73" s="9">
        <f>G74+G75+G76</f>
        <v>0</v>
      </c>
      <c r="H73" s="31"/>
      <c r="I73" s="40"/>
      <c r="J73" s="41"/>
      <c r="K73" s="41"/>
      <c r="L73" s="41"/>
      <c r="M73" s="41"/>
    </row>
    <row r="74" spans="1:13" ht="17.25" customHeight="1">
      <c r="A74" s="4"/>
      <c r="B74" s="5" t="s">
        <v>104</v>
      </c>
      <c r="C74" s="5" t="s">
        <v>148</v>
      </c>
      <c r="D74" s="6">
        <f>50000+150000-100000-100000</f>
        <v>0</v>
      </c>
      <c r="E74" s="6"/>
      <c r="F74" s="18"/>
      <c r="G74" s="6"/>
      <c r="H74" s="31"/>
      <c r="I74" s="40"/>
      <c r="J74" s="29"/>
      <c r="K74" s="29"/>
      <c r="L74" s="29"/>
      <c r="M74" s="29"/>
    </row>
    <row r="75" spans="1:13" ht="17.25" customHeight="1">
      <c r="A75" s="4"/>
      <c r="B75" s="5" t="s">
        <v>105</v>
      </c>
      <c r="C75" s="5" t="s">
        <v>150</v>
      </c>
      <c r="D75" s="18">
        <f>50000-15000+65000+10000-2000</f>
        <v>108000</v>
      </c>
      <c r="E75" s="6"/>
      <c r="F75" s="18">
        <f>25000+25000+25000+25000+7500</f>
        <v>107500</v>
      </c>
      <c r="G75" s="6"/>
      <c r="H75" s="31"/>
      <c r="I75" s="40"/>
      <c r="J75" s="29"/>
      <c r="K75" s="40"/>
      <c r="L75" s="29"/>
      <c r="M75" s="29"/>
    </row>
    <row r="76" spans="1:13" ht="18" customHeight="1">
      <c r="A76" s="4"/>
      <c r="B76" s="5" t="s">
        <v>130</v>
      </c>
      <c r="C76" s="5" t="s">
        <v>153</v>
      </c>
      <c r="D76" s="6">
        <f>152000-10000+3000</f>
        <v>145000</v>
      </c>
      <c r="E76" s="6"/>
      <c r="F76" s="18">
        <f>12045+12045+12045+12045+12045+12045+12045+12045+12045+12045+12045+12045</f>
        <v>144540</v>
      </c>
      <c r="G76" s="6"/>
      <c r="H76" s="31"/>
      <c r="I76" s="40"/>
      <c r="J76" s="29"/>
      <c r="K76" s="29"/>
      <c r="L76" s="29"/>
      <c r="M76" s="29"/>
    </row>
    <row r="77" spans="1:13" s="2" customFormat="1" ht="25.5" customHeight="1">
      <c r="A77" s="7">
        <v>2.49</v>
      </c>
      <c r="B77" s="8" t="s">
        <v>12</v>
      </c>
      <c r="C77" s="8" t="s">
        <v>14</v>
      </c>
      <c r="D77" s="20">
        <f>D78+D79+D80</f>
        <v>1220000</v>
      </c>
      <c r="E77" s="9">
        <f>E78+E79+E80</f>
        <v>0</v>
      </c>
      <c r="F77" s="20">
        <f>F78+F79+F80</f>
        <v>1219579.25</v>
      </c>
      <c r="G77" s="9">
        <f>G78+G79+G80</f>
        <v>0</v>
      </c>
      <c r="H77" s="31"/>
      <c r="I77" s="40"/>
      <c r="J77" s="41"/>
      <c r="K77" s="41"/>
      <c r="L77" s="41"/>
      <c r="M77" s="41"/>
    </row>
    <row r="78" spans="1:13" ht="21" customHeight="1">
      <c r="A78" s="4"/>
      <c r="B78" s="5" t="s">
        <v>107</v>
      </c>
      <c r="C78" s="5" t="s">
        <v>148</v>
      </c>
      <c r="D78" s="18">
        <f>215000+285000+220000+200000+25000+40000+97000+6000+2000+33000</f>
        <v>1123000</v>
      </c>
      <c r="E78" s="6"/>
      <c r="F78" s="18">
        <f>62575+96387+170424+170424+23407.25+16039+10063+12103+190575+250915+13221+90408+16288</f>
        <v>1122829.25</v>
      </c>
      <c r="G78" s="6"/>
      <c r="H78" s="31"/>
      <c r="I78" s="40"/>
      <c r="J78" s="42"/>
      <c r="K78" s="42"/>
      <c r="L78" s="29"/>
      <c r="M78" s="29"/>
    </row>
    <row r="79" spans="1:13" ht="18.75" customHeight="1">
      <c r="A79" s="4"/>
      <c r="B79" s="5" t="s">
        <v>108</v>
      </c>
      <c r="C79" s="5" t="s">
        <v>150</v>
      </c>
      <c r="D79" s="18">
        <f>1606000-66000-900000-138000-165000-285000+20000</f>
        <v>72000</v>
      </c>
      <c r="E79" s="6"/>
      <c r="F79" s="18">
        <f>11850+4500+26400+4000+5000+20000</f>
        <v>71750</v>
      </c>
      <c r="G79" s="6"/>
      <c r="H79" s="31"/>
      <c r="I79" s="40"/>
      <c r="J79" s="29"/>
      <c r="K79" s="29"/>
      <c r="L79" s="29"/>
      <c r="M79" s="29"/>
    </row>
    <row r="80" spans="1:13" ht="18.75" customHeight="1">
      <c r="A80" s="4"/>
      <c r="B80" s="5" t="s">
        <v>131</v>
      </c>
      <c r="C80" s="5" t="s">
        <v>151</v>
      </c>
      <c r="D80" s="18">
        <f>150000-100000-25000</f>
        <v>25000</v>
      </c>
      <c r="E80" s="6"/>
      <c r="F80" s="18">
        <f>25000</f>
        <v>25000</v>
      </c>
      <c r="G80" s="6"/>
      <c r="H80" s="31"/>
      <c r="I80" s="40"/>
      <c r="J80" s="29"/>
      <c r="K80" s="29"/>
      <c r="L80" s="29"/>
      <c r="M80" s="29"/>
    </row>
    <row r="81" spans="1:13" s="2" customFormat="1" ht="25.5" customHeight="1">
      <c r="A81" s="7">
        <v>2.5</v>
      </c>
      <c r="B81" s="8" t="s">
        <v>32</v>
      </c>
      <c r="C81" s="8" t="s">
        <v>37</v>
      </c>
      <c r="D81" s="9">
        <f>D82+D83+D84+D85+D86+D87</f>
        <v>20841284</v>
      </c>
      <c r="E81" s="9">
        <f>E82+E83+E84+E85+E86+E87</f>
        <v>0</v>
      </c>
      <c r="F81" s="20">
        <f>F82+F83+F84+F85+F86+F87</f>
        <v>20837444.219999995</v>
      </c>
      <c r="G81" s="9">
        <f>G82+G83+G84+G85+G86+G87</f>
        <v>0</v>
      </c>
      <c r="H81" s="31"/>
      <c r="I81" s="40"/>
      <c r="J81" s="41"/>
      <c r="K81" s="41"/>
      <c r="L81" s="41"/>
      <c r="M81" s="41"/>
    </row>
    <row r="82" spans="1:13" ht="20.25" customHeight="1">
      <c r="A82" s="4"/>
      <c r="B82" s="5" t="s">
        <v>132</v>
      </c>
      <c r="C82" s="5" t="s">
        <v>146</v>
      </c>
      <c r="D82" s="18">
        <f>10000+15000+25000+10000+100000+10000-2000</f>
        <v>168000</v>
      </c>
      <c r="E82" s="6"/>
      <c r="F82" s="18">
        <f>3300+7150+8800+3300+9900+3300+14300+3300+3300+99000+3900+8400</f>
        <v>167950</v>
      </c>
      <c r="G82" s="6"/>
      <c r="H82" s="31"/>
      <c r="I82" s="40"/>
      <c r="J82" s="29"/>
      <c r="K82" s="29"/>
      <c r="L82" s="29"/>
      <c r="M82" s="29"/>
    </row>
    <row r="83" spans="1:13" ht="18.75" customHeight="1">
      <c r="A83" s="4"/>
      <c r="B83" s="5" t="s">
        <v>110</v>
      </c>
      <c r="C83" s="5" t="s">
        <v>147</v>
      </c>
      <c r="D83" s="18">
        <f>3251000-40000-73000-80000+425784-180000+500000-200000-420000+3000+100000-6000</f>
        <v>3280784</v>
      </c>
      <c r="E83" s="6"/>
      <c r="F83" s="18">
        <f>101988.56+134975.47+152841.22+100884.01+89169.75+143488.92+102621.15+118109.52+146731.02+105049.13+11332.43+102843.12+72132.34+15525.59+98703.15+61527.35+103122.4+47276.69+66345.33+49759+29693.75+56117.37+39588.01+92102.04+114378.7+54076.52+235861.37+80903.87+42580+108372.28+109018.76+42383.62+61279.22+243907.86+149273.6+1226.72+30000+459.03-36836.24</f>
        <v>3278812.63</v>
      </c>
      <c r="G83" s="6"/>
      <c r="H83" s="31"/>
      <c r="I83" s="40"/>
      <c r="J83" s="42"/>
      <c r="K83" s="42"/>
      <c r="L83" s="29"/>
      <c r="M83" s="29"/>
    </row>
    <row r="84" spans="1:13" ht="17.25" customHeight="1">
      <c r="A84" s="4"/>
      <c r="B84" s="5" t="s">
        <v>109</v>
      </c>
      <c r="C84" s="5" t="s">
        <v>148</v>
      </c>
      <c r="D84" s="18">
        <f>3844000-20000-20000-197000-100000+10605600-120000-100-256000+200000-150000-450000+550000-750000+730000+900000+947000-16000+5000</f>
        <v>15702500</v>
      </c>
      <c r="E84" s="6"/>
      <c r="F84" s="18">
        <f>12006+35000+288011+7000+17131.55+2500+56746+10005+77346+3476.19+175947+5465.3+1000+105060+29014+55748+59895+1001+106427+14904+12508+250158+20669.07+1000+40508+169478+133216+85372+238596.38+1001+496.3+60300+1960.03+47454+107452+31796.2+6003+58028+106.06+10000+200395+92615+93903+1001+3020.25+5461.8+173807+99345+5290780.74+113551+140464+993816.85+95953+99334+1001+462.95+108749+23530+3988366.05+1000+35061+33177+132913.85+1326453.21+99251+950.49+4200+52520+149642+1000+463.95</f>
        <v>15701974.219999997</v>
      </c>
      <c r="G84" s="6"/>
      <c r="H84" s="31"/>
      <c r="I84" s="40"/>
      <c r="J84" s="42"/>
      <c r="K84" s="42"/>
      <c r="L84" s="29"/>
      <c r="M84" s="29"/>
    </row>
    <row r="85" spans="1:13" ht="20.25" customHeight="1">
      <c r="A85" s="4"/>
      <c r="B85" s="5" t="s">
        <v>111</v>
      </c>
      <c r="C85" s="5" t="s">
        <v>150</v>
      </c>
      <c r="D85" s="18">
        <f>18000+10000+100000+75000+85000+110000+40000+100000+70000+115000+200000+320000+16000+33000-16000</f>
        <v>1276000</v>
      </c>
      <c r="E85" s="6"/>
      <c r="F85" s="18">
        <f>397768.77+6003+20010+13006.3+566+552+55025+27596.06+1500+10000+10156.17+503+20010+23954.74+12650+5000+20010+520+23000+55894.38+18959.04+9976.66+21539+19200+45000+20641.5+9562.33+7000+526+1500+20010+9562.33+27000+60000+262706+26934+12048.89</f>
        <v>1275891.17</v>
      </c>
      <c r="G85" s="6"/>
      <c r="H85" s="31"/>
      <c r="I85" s="40"/>
      <c r="J85" s="29"/>
      <c r="K85" s="29"/>
      <c r="L85" s="29"/>
      <c r="M85" s="29"/>
    </row>
    <row r="86" spans="1:13" ht="20.25" customHeight="1">
      <c r="A86" s="4"/>
      <c r="B86" s="5" t="s">
        <v>133</v>
      </c>
      <c r="C86" s="5" t="s">
        <v>151</v>
      </c>
      <c r="D86" s="18">
        <f>70000-10000-27000</f>
        <v>33000</v>
      </c>
      <c r="E86" s="6"/>
      <c r="F86" s="18">
        <f>32010</f>
        <v>32010</v>
      </c>
      <c r="G86" s="6"/>
      <c r="H86" s="31"/>
      <c r="I86" s="40"/>
      <c r="J86" s="29"/>
      <c r="K86" s="29"/>
      <c r="L86" s="29"/>
      <c r="M86" s="29"/>
    </row>
    <row r="87" spans="1:13" ht="20.25" customHeight="1">
      <c r="A87" s="4"/>
      <c r="B87" s="5" t="s">
        <v>134</v>
      </c>
      <c r="C87" s="5" t="s">
        <v>152</v>
      </c>
      <c r="D87" s="18">
        <f>150000+50000+40000+55000+10000+40000+10000+200000-73000-100000-1000</f>
        <v>381000</v>
      </c>
      <c r="E87" s="6"/>
      <c r="F87" s="18">
        <f>98000+31732+23100+29466+53900+4764+37500+1204+8072+7140+1519.2+7552+37500+7165+2950+805+28437</f>
        <v>380806.2</v>
      </c>
      <c r="G87" s="6"/>
      <c r="H87" s="31"/>
      <c r="I87" s="40"/>
      <c r="J87" s="29"/>
      <c r="K87" s="29"/>
      <c r="L87" s="29"/>
      <c r="M87" s="29"/>
    </row>
    <row r="88" spans="1:13" s="2" customFormat="1" ht="25.5" customHeight="1">
      <c r="A88" s="7">
        <v>2.52</v>
      </c>
      <c r="B88" s="8" t="s">
        <v>8</v>
      </c>
      <c r="C88" s="8" t="s">
        <v>26</v>
      </c>
      <c r="D88" s="20">
        <f>D89+D90</f>
        <v>0</v>
      </c>
      <c r="E88" s="9">
        <f>E89+E90</f>
        <v>0</v>
      </c>
      <c r="F88" s="20">
        <f>F89+F90</f>
        <v>0</v>
      </c>
      <c r="G88" s="9">
        <f>G89+G90</f>
        <v>0</v>
      </c>
      <c r="H88" s="31"/>
      <c r="I88" s="40"/>
      <c r="J88" s="41"/>
      <c r="K88" s="41"/>
      <c r="L88" s="41"/>
      <c r="M88" s="41"/>
    </row>
    <row r="89" spans="1:13" ht="17.25" customHeight="1">
      <c r="A89" s="4"/>
      <c r="B89" s="5" t="s">
        <v>112</v>
      </c>
      <c r="C89" s="5" t="s">
        <v>148</v>
      </c>
      <c r="D89" s="18">
        <f>20000-20000</f>
        <v>0</v>
      </c>
      <c r="E89" s="6"/>
      <c r="F89" s="18">
        <f>17345.29-17345.29</f>
        <v>0</v>
      </c>
      <c r="G89" s="6"/>
      <c r="H89" s="31"/>
      <c r="I89" s="40"/>
      <c r="J89" s="29"/>
      <c r="K89" s="29"/>
      <c r="L89" s="29"/>
      <c r="M89" s="29"/>
    </row>
    <row r="90" spans="1:13" ht="17.25" customHeight="1">
      <c r="A90" s="4"/>
      <c r="B90" s="5" t="s">
        <v>113</v>
      </c>
      <c r="C90" s="5" t="s">
        <v>150</v>
      </c>
      <c r="D90" s="26">
        <f>45000-20000-25000</f>
        <v>0</v>
      </c>
      <c r="E90" s="6"/>
      <c r="F90" s="18">
        <f>27708+64652+12000+10000+15000-129360</f>
        <v>0</v>
      </c>
      <c r="G90" s="6"/>
      <c r="H90" s="31"/>
      <c r="I90" s="40"/>
      <c r="J90" s="29"/>
      <c r="K90" s="29"/>
      <c r="L90" s="29"/>
      <c r="M90" s="29"/>
    </row>
    <row r="91" spans="1:13" s="2" customFormat="1" ht="25.5" customHeight="1">
      <c r="A91" s="7">
        <v>2.58</v>
      </c>
      <c r="B91" s="8" t="s">
        <v>36</v>
      </c>
      <c r="C91" s="8" t="s">
        <v>38</v>
      </c>
      <c r="D91" s="19"/>
      <c r="E91" s="9">
        <f>E92+E93+E95</f>
        <v>0</v>
      </c>
      <c r="F91" s="19"/>
      <c r="G91" s="9">
        <f>G92+G93+G95</f>
        <v>0</v>
      </c>
      <c r="H91" s="31"/>
      <c r="I91" s="40"/>
      <c r="J91" s="41"/>
      <c r="K91" s="41"/>
      <c r="L91" s="41"/>
      <c r="M91" s="41"/>
    </row>
    <row r="92" spans="1:13" ht="19.5" customHeight="1">
      <c r="A92" s="4"/>
      <c r="B92" s="5" t="s">
        <v>114</v>
      </c>
      <c r="C92" s="5" t="s">
        <v>147</v>
      </c>
      <c r="D92" s="6"/>
      <c r="E92" s="6"/>
      <c r="F92" s="18"/>
      <c r="G92" s="6"/>
      <c r="H92" s="31"/>
      <c r="I92" s="40"/>
      <c r="J92" s="29"/>
      <c r="K92" s="29"/>
      <c r="L92" s="29"/>
      <c r="M92" s="29"/>
    </row>
    <row r="93" spans="1:13" ht="16.5" customHeight="1">
      <c r="A93" s="4"/>
      <c r="B93" s="5" t="s">
        <v>115</v>
      </c>
      <c r="C93" s="5" t="s">
        <v>148</v>
      </c>
      <c r="D93" s="6"/>
      <c r="E93" s="6"/>
      <c r="F93" s="18"/>
      <c r="G93" s="6"/>
      <c r="H93" s="31"/>
      <c r="I93" s="40"/>
      <c r="J93" s="29"/>
      <c r="K93" s="29"/>
      <c r="L93" s="29"/>
      <c r="M93" s="29"/>
    </row>
    <row r="94" spans="1:13" ht="16.5" customHeight="1">
      <c r="A94" s="4"/>
      <c r="B94" s="5" t="s">
        <v>165</v>
      </c>
      <c r="C94" s="5" t="s">
        <v>153</v>
      </c>
      <c r="D94" s="6"/>
      <c r="E94" s="6"/>
      <c r="F94" s="18"/>
      <c r="G94" s="6"/>
      <c r="H94" s="31"/>
      <c r="I94" s="40"/>
      <c r="J94" s="29"/>
      <c r="K94" s="29"/>
      <c r="L94" s="29"/>
      <c r="M94" s="29"/>
    </row>
    <row r="95" spans="1:13" ht="16.5" customHeight="1">
      <c r="A95" s="4"/>
      <c r="B95" s="5" t="s">
        <v>116</v>
      </c>
      <c r="C95" s="5" t="s">
        <v>152</v>
      </c>
      <c r="D95" s="6"/>
      <c r="E95" s="6"/>
      <c r="F95" s="18"/>
      <c r="G95" s="6"/>
      <c r="H95" s="31"/>
      <c r="I95" s="40"/>
      <c r="J95" s="29"/>
      <c r="K95" s="29"/>
      <c r="L95" s="29"/>
      <c r="M95" s="29"/>
    </row>
    <row r="96" spans="1:13" s="2" customFormat="1" ht="25.5" customHeight="1">
      <c r="A96" s="7">
        <v>2.59</v>
      </c>
      <c r="B96" s="8" t="s">
        <v>41</v>
      </c>
      <c r="C96" s="8" t="s">
        <v>17</v>
      </c>
      <c r="D96" s="20">
        <f>D97+D98+D99</f>
        <v>0</v>
      </c>
      <c r="E96" s="9">
        <f>+E97</f>
        <v>0</v>
      </c>
      <c r="F96" s="20">
        <f>F97+F98+F99</f>
        <v>0</v>
      </c>
      <c r="G96" s="9">
        <f>G97</f>
        <v>0</v>
      </c>
      <c r="H96" s="31"/>
      <c r="I96" s="40"/>
      <c r="J96" s="43"/>
      <c r="K96" s="41"/>
      <c r="L96" s="41"/>
      <c r="M96" s="41"/>
    </row>
    <row r="97" spans="1:13" ht="16.5" customHeight="1">
      <c r="A97" s="4"/>
      <c r="B97" s="5" t="s">
        <v>117</v>
      </c>
      <c r="C97" s="5" t="s">
        <v>150</v>
      </c>
      <c r="D97" s="18"/>
      <c r="E97" s="6"/>
      <c r="F97" s="18"/>
      <c r="G97" s="6"/>
      <c r="H97" s="31"/>
      <c r="I97" s="40"/>
      <c r="J97" s="29"/>
      <c r="K97" s="29"/>
      <c r="L97" s="29"/>
      <c r="M97" s="29"/>
    </row>
    <row r="98" spans="1:13" ht="17.25" customHeight="1">
      <c r="A98" s="4"/>
      <c r="B98" s="5" t="s">
        <v>169</v>
      </c>
      <c r="C98" s="5" t="s">
        <v>151</v>
      </c>
      <c r="D98" s="18"/>
      <c r="E98" s="6"/>
      <c r="F98" s="18"/>
      <c r="G98" s="6"/>
      <c r="H98" s="31"/>
      <c r="I98" s="40"/>
      <c r="J98" s="29"/>
      <c r="K98" s="29"/>
      <c r="L98" s="29"/>
      <c r="M98" s="29"/>
    </row>
    <row r="99" spans="1:13" ht="17.25" customHeight="1">
      <c r="A99" s="4"/>
      <c r="B99" s="5" t="s">
        <v>170</v>
      </c>
      <c r="C99" s="5" t="s">
        <v>152</v>
      </c>
      <c r="D99" s="6"/>
      <c r="E99" s="6"/>
      <c r="F99" s="18"/>
      <c r="G99" s="6"/>
      <c r="H99" s="31"/>
      <c r="I99" s="40"/>
      <c r="J99" s="29"/>
      <c r="K99" s="29"/>
      <c r="L99" s="29"/>
      <c r="M99" s="29"/>
    </row>
    <row r="100" spans="1:13" s="2" customFormat="1" ht="25.5" customHeight="1">
      <c r="A100" s="7">
        <v>2.66</v>
      </c>
      <c r="B100" s="8" t="s">
        <v>27</v>
      </c>
      <c r="C100" s="8" t="s">
        <v>43</v>
      </c>
      <c r="D100" s="20">
        <f>D101+D103+D104+D105+D107+D108+D106+D102</f>
        <v>13610000</v>
      </c>
      <c r="E100" s="9">
        <f>E101+E103+E104+E105+E107+E108</f>
        <v>0</v>
      </c>
      <c r="F100" s="20">
        <f>F101+F103+F104+F105+F107+F108+F106+F102</f>
        <v>13606349.21</v>
      </c>
      <c r="G100" s="9">
        <f>G101+G103+G104+G105+G107+G108</f>
        <v>0</v>
      </c>
      <c r="H100" s="31"/>
      <c r="I100" s="40"/>
      <c r="J100" s="43"/>
      <c r="K100" s="41"/>
      <c r="L100" s="41"/>
      <c r="M100" s="41"/>
    </row>
    <row r="101" spans="1:13" ht="18" customHeight="1">
      <c r="A101" s="4"/>
      <c r="B101" s="5" t="s">
        <v>118</v>
      </c>
      <c r="C101" s="5" t="s">
        <v>145</v>
      </c>
      <c r="D101" s="18">
        <f>54000-10000-1000</f>
        <v>43000</v>
      </c>
      <c r="E101" s="6"/>
      <c r="F101" s="18">
        <f>5149.32+4346.13+2777.39+3497.47+4176.08+38.99+2720.79+38.99+2927.29+2783.64+31.22+5.9+2979.74+2793.22+2837.14+2948.87+2901.4</f>
        <v>42953.58000000001</v>
      </c>
      <c r="G101" s="6"/>
      <c r="H101" s="31"/>
      <c r="I101" s="40"/>
      <c r="J101" s="29"/>
      <c r="K101" s="29"/>
      <c r="L101" s="29"/>
      <c r="M101" s="29"/>
    </row>
    <row r="102" spans="1:13" ht="18" customHeight="1">
      <c r="A102" s="4"/>
      <c r="B102" s="5" t="s">
        <v>187</v>
      </c>
      <c r="C102" s="5" t="s">
        <v>146</v>
      </c>
      <c r="D102" s="18"/>
      <c r="E102" s="6"/>
      <c r="F102" s="18"/>
      <c r="G102" s="6"/>
      <c r="H102" s="31"/>
      <c r="I102" s="40"/>
      <c r="J102" s="29"/>
      <c r="K102" s="29"/>
      <c r="L102" s="29"/>
      <c r="M102" s="29"/>
    </row>
    <row r="103" spans="1:13" ht="18" customHeight="1">
      <c r="A103" s="4"/>
      <c r="B103" s="5" t="s">
        <v>119</v>
      </c>
      <c r="C103" s="5" t="s">
        <v>147</v>
      </c>
      <c r="D103" s="18">
        <f>919000-60000-57000+5000</f>
        <v>807000</v>
      </c>
      <c r="E103" s="6"/>
      <c r="F103" s="18">
        <f>10000+9539.71+10000+577.28+72547.11+216+15000+297+793.76+16279+10000+89633.26+10000+938.08+351+936.22+10000+10000+5396.55+10000+83541.19+87269.93+1118.48+10000+52689.13+8340.02+10000+10000+405+1082.4+10000+10000+499.5+1334.96+336.96+897.12+5000+5000+379.08+1009.26+10000+1906.38+716.04+33274.08+2242.8+842.4+30000+40000+3438.96+1291.68+64659.86+36836.24</f>
        <v>806616.44</v>
      </c>
      <c r="G103" s="6"/>
      <c r="H103" s="31"/>
      <c r="I103" s="40"/>
      <c r="J103" s="42"/>
      <c r="K103" s="42"/>
      <c r="L103" s="29"/>
      <c r="M103" s="29"/>
    </row>
    <row r="104" spans="1:13" ht="20.25" customHeight="1">
      <c r="A104" s="4"/>
      <c r="B104" s="5" t="s">
        <v>120</v>
      </c>
      <c r="C104" s="5" t="s">
        <v>148</v>
      </c>
      <c r="D104" s="18">
        <f>458000+11400000-30000-269000-33000-100000-31000</f>
        <v>11395000</v>
      </c>
      <c r="E104" s="6"/>
      <c r="F104" s="18">
        <f>1124.42+2500+1124.42+20646+4798.62+9664+0.6+4832+4832+1252.2+2500+2500+4798.62+4798.62+9664+7600+1252.2+950.49+950.49+2500+950.49+4832+4832+4798.62+950.49+1252.2+5000+5220+5220+5184+950.49+1252.2+300+10440+5184+1252.2+950.49+5184+10440+1611.54+950.49+1000+10440+5184+950.49+1611.54+4200+10350+3001+5184+24354+10440+1611.54+10440+4836+151731.75+7986.25+1611.54+3034635+2500+950.49+47390+184854.65+9729.35+3697093+950.49+10440+1576.44+2500+3000852+7897+150042.6+13371+118727+267420+399641+1611.54+2500+4500+5184+10440</f>
        <v>11394781.56</v>
      </c>
      <c r="G104" s="6"/>
      <c r="H104" s="31"/>
      <c r="I104" s="40"/>
      <c r="J104" s="42"/>
      <c r="K104" s="42"/>
      <c r="L104" s="29"/>
      <c r="M104" s="29"/>
    </row>
    <row r="105" spans="1:13" ht="19.5" customHeight="1">
      <c r="A105" s="4"/>
      <c r="B105" s="5" t="s">
        <v>121</v>
      </c>
      <c r="C105" s="5" t="s">
        <v>150</v>
      </c>
      <c r="D105" s="18">
        <f>692000+14000+30000+60000+6000+10000+57000+269000+2000+10000</f>
        <v>1150000</v>
      </c>
      <c r="E105" s="6"/>
      <c r="F105" s="18">
        <f>950.49+17426.78+35092+6524+6524+6524+6524+5685+8000+15775.84+17426.78+35092+3000+6523+9000+17295.5+6523+6523+6523+17426.77+45000+7000+12006+9004+1269+9712+9000+9712+9712+9712+29719.73+47848+23758.06+250+30000+19292.91+47848+1000+5500+47849+23736.42+3000+19036.87+24150+10000+38848+4800+38848+17993.98+38848+22894.74+236163.56+1344+21535.3+38848</f>
        <v>1149598.73</v>
      </c>
      <c r="G105" s="6"/>
      <c r="H105" s="31"/>
      <c r="I105" s="40"/>
      <c r="J105" s="29"/>
      <c r="K105" s="29"/>
      <c r="L105" s="29"/>
      <c r="M105" s="29"/>
    </row>
    <row r="106" spans="1:13" ht="19.5" customHeight="1">
      <c r="A106" s="4"/>
      <c r="B106" s="5" t="s">
        <v>141</v>
      </c>
      <c r="C106" s="5" t="s">
        <v>153</v>
      </c>
      <c r="D106" s="18">
        <f>20000-20000</f>
        <v>0</v>
      </c>
      <c r="E106" s="6"/>
      <c r="F106" s="18"/>
      <c r="G106" s="6"/>
      <c r="H106" s="31"/>
      <c r="I106" s="40"/>
      <c r="J106" s="29"/>
      <c r="K106" s="29"/>
      <c r="L106" s="29"/>
      <c r="M106" s="29"/>
    </row>
    <row r="107" spans="1:13" ht="18.75" customHeight="1">
      <c r="A107" s="4"/>
      <c r="B107" s="5" t="s">
        <v>122</v>
      </c>
      <c r="C107" s="5" t="s">
        <v>151</v>
      </c>
      <c r="D107" s="18">
        <f>62000+16000+46000+10000</f>
        <v>134000</v>
      </c>
      <c r="E107" s="6"/>
      <c r="F107" s="18">
        <f>41730+5005+6900+69950+10060</f>
        <v>133645</v>
      </c>
      <c r="G107" s="6"/>
      <c r="H107" s="31"/>
      <c r="I107" s="40"/>
      <c r="J107" s="29"/>
      <c r="K107" s="29"/>
      <c r="L107" s="29"/>
      <c r="M107" s="29"/>
    </row>
    <row r="108" spans="1:13" ht="18.75" customHeight="1">
      <c r="A108" s="4"/>
      <c r="B108" s="5" t="s">
        <v>123</v>
      </c>
      <c r="C108" s="5" t="s">
        <v>152</v>
      </c>
      <c r="D108" s="18">
        <f>195000+25000-60000-10000-63000-6000</f>
        <v>81000</v>
      </c>
      <c r="E108" s="6"/>
      <c r="F108" s="18">
        <f>474+316+1500+10000+2887+2145+695+1039+686+473+25000+2900+174+594+1256.9+749+108+1140+3064+7250+772+468+350+2800+4170+1266+477+6000</f>
        <v>78753.9</v>
      </c>
      <c r="G108" s="6"/>
      <c r="H108" s="31"/>
      <c r="I108" s="40"/>
      <c r="J108" s="29"/>
      <c r="K108" s="29"/>
      <c r="L108" s="29"/>
      <c r="M108" s="29"/>
    </row>
    <row r="109" spans="1:13" s="2" customFormat="1" ht="25.5" customHeight="1">
      <c r="A109" s="7">
        <v>2.86</v>
      </c>
      <c r="B109" s="8" t="s">
        <v>24</v>
      </c>
      <c r="C109" s="8" t="s">
        <v>40</v>
      </c>
      <c r="D109" s="20">
        <f>D110+D111+D112+D113</f>
        <v>39000</v>
      </c>
      <c r="E109" s="9">
        <f>E111</f>
        <v>0</v>
      </c>
      <c r="F109" s="20">
        <f>F110+F112+F113+F111</f>
        <v>38189</v>
      </c>
      <c r="G109" s="9">
        <f>G111</f>
        <v>0</v>
      </c>
      <c r="H109" s="31"/>
      <c r="I109" s="40"/>
      <c r="J109" s="41"/>
      <c r="K109" s="41"/>
      <c r="L109" s="41"/>
      <c r="M109" s="41"/>
    </row>
    <row r="110" spans="1:13" s="2" customFormat="1" ht="25.5" customHeight="1">
      <c r="A110" s="7"/>
      <c r="B110" s="5" t="s">
        <v>182</v>
      </c>
      <c r="C110" s="5" t="s">
        <v>146</v>
      </c>
      <c r="D110" s="25"/>
      <c r="E110" s="9"/>
      <c r="F110" s="25"/>
      <c r="G110" s="9"/>
      <c r="H110" s="31"/>
      <c r="I110" s="40"/>
      <c r="J110" s="41"/>
      <c r="K110" s="41"/>
      <c r="L110" s="41"/>
      <c r="M110" s="41"/>
    </row>
    <row r="111" spans="1:13" ht="18" customHeight="1">
      <c r="A111" s="4"/>
      <c r="B111" s="5" t="s">
        <v>135</v>
      </c>
      <c r="C111" s="5" t="s">
        <v>150</v>
      </c>
      <c r="D111" s="18">
        <f>50000-30000-1000-5000-6000</f>
        <v>8000</v>
      </c>
      <c r="E111" s="6"/>
      <c r="F111" s="18">
        <f>7200</f>
        <v>7200</v>
      </c>
      <c r="G111" s="6"/>
      <c r="H111" s="31"/>
      <c r="I111" s="40"/>
      <c r="J111" s="29"/>
      <c r="K111" s="29"/>
      <c r="L111" s="29"/>
      <c r="M111" s="29"/>
    </row>
    <row r="112" spans="1:13" ht="18" customHeight="1">
      <c r="A112" s="4"/>
      <c r="B112" s="5" t="s">
        <v>183</v>
      </c>
      <c r="C112" s="5" t="s">
        <v>151</v>
      </c>
      <c r="D112" s="18">
        <f>50000-50000</f>
        <v>0</v>
      </c>
      <c r="E112" s="6"/>
      <c r="F112" s="18"/>
      <c r="G112" s="6"/>
      <c r="H112" s="31"/>
      <c r="I112" s="40"/>
      <c r="J112" s="29"/>
      <c r="K112" s="29"/>
      <c r="L112" s="29"/>
      <c r="M112" s="29"/>
    </row>
    <row r="113" spans="1:13" ht="18" customHeight="1">
      <c r="A113" s="4"/>
      <c r="B113" s="5" t="s">
        <v>188</v>
      </c>
      <c r="C113" s="5" t="s">
        <v>152</v>
      </c>
      <c r="D113" s="18">
        <f>30000+1000</f>
        <v>31000</v>
      </c>
      <c r="E113" s="6"/>
      <c r="F113" s="18">
        <f>21970+2430+6589</f>
        <v>30989</v>
      </c>
      <c r="G113" s="6"/>
      <c r="H113" s="31"/>
      <c r="I113" s="40"/>
      <c r="J113" s="29"/>
      <c r="K113" s="29"/>
      <c r="L113" s="29"/>
      <c r="M113" s="29"/>
    </row>
    <row r="114" spans="1:13" ht="25.5" customHeight="1">
      <c r="A114" s="4"/>
      <c r="B114" s="10" t="s">
        <v>53</v>
      </c>
      <c r="C114" s="10" t="s">
        <v>67</v>
      </c>
      <c r="D114" s="12">
        <f aca="true" t="shared" si="2" ref="D114:G115">D115</f>
        <v>180000</v>
      </c>
      <c r="E114" s="12">
        <f t="shared" si="2"/>
        <v>0</v>
      </c>
      <c r="F114" s="19">
        <f t="shared" si="2"/>
        <v>179383.80000000005</v>
      </c>
      <c r="G114" s="12">
        <f t="shared" si="2"/>
        <v>0</v>
      </c>
      <c r="H114" s="31"/>
      <c r="I114" s="40"/>
      <c r="J114" s="29"/>
      <c r="K114" s="29"/>
      <c r="L114" s="29"/>
      <c r="M114" s="29"/>
    </row>
    <row r="115" spans="1:13" s="16" customFormat="1" ht="19.5" customHeight="1">
      <c r="A115" s="4">
        <v>2.79</v>
      </c>
      <c r="B115" s="5" t="s">
        <v>31</v>
      </c>
      <c r="C115" s="5" t="s">
        <v>34</v>
      </c>
      <c r="D115" s="6">
        <f>D116</f>
        <v>180000</v>
      </c>
      <c r="E115" s="6">
        <f t="shared" si="2"/>
        <v>0</v>
      </c>
      <c r="F115" s="18">
        <f>F116</f>
        <v>179383.80000000005</v>
      </c>
      <c r="G115" s="6">
        <f t="shared" si="2"/>
        <v>0</v>
      </c>
      <c r="H115" s="31"/>
      <c r="I115" s="40"/>
      <c r="J115" s="44"/>
      <c r="K115" s="44"/>
      <c r="L115" s="44"/>
      <c r="M115" s="44"/>
    </row>
    <row r="116" spans="1:13" ht="36.75" customHeight="1">
      <c r="A116" s="4"/>
      <c r="B116" s="5" t="s">
        <v>136</v>
      </c>
      <c r="C116" s="5" t="s">
        <v>154</v>
      </c>
      <c r="D116" s="18">
        <v>180000</v>
      </c>
      <c r="E116" s="6"/>
      <c r="F116" s="18">
        <f>44845.5+4982.9+4982.9+4982.9+14948.7+14948.7+14948.7+14948.7+14948.7+14948.7+14948.7+14948.7</f>
        <v>179383.80000000005</v>
      </c>
      <c r="G116" s="6"/>
      <c r="H116" s="31"/>
      <c r="I116" s="40"/>
      <c r="J116" s="29"/>
      <c r="K116" s="29"/>
      <c r="L116" s="29"/>
      <c r="M116" s="29"/>
    </row>
    <row r="117" spans="1:13" ht="18.75" customHeight="1">
      <c r="A117" s="4"/>
      <c r="B117" s="10" t="s">
        <v>184</v>
      </c>
      <c r="C117" s="10" t="s">
        <v>68</v>
      </c>
      <c r="D117" s="12">
        <f aca="true" t="shared" si="3" ref="D117:G118">D118</f>
        <v>45000</v>
      </c>
      <c r="E117" s="12">
        <f t="shared" si="3"/>
        <v>0</v>
      </c>
      <c r="F117" s="19">
        <f t="shared" si="3"/>
        <v>45000</v>
      </c>
      <c r="G117" s="12">
        <f t="shared" si="3"/>
        <v>0</v>
      </c>
      <c r="H117" s="31"/>
      <c r="I117" s="40"/>
      <c r="J117" s="29"/>
      <c r="K117" s="29"/>
      <c r="L117" s="29"/>
      <c r="M117" s="29"/>
    </row>
    <row r="118" spans="1:13" s="16" customFormat="1" ht="17.25" customHeight="1">
      <c r="A118" s="4">
        <v>2.81</v>
      </c>
      <c r="B118" s="5" t="s">
        <v>6</v>
      </c>
      <c r="C118" s="5" t="s">
        <v>13</v>
      </c>
      <c r="D118" s="6">
        <f>D119</f>
        <v>45000</v>
      </c>
      <c r="E118" s="6">
        <f t="shared" si="3"/>
        <v>0</v>
      </c>
      <c r="F118" s="18">
        <f>F119</f>
        <v>45000</v>
      </c>
      <c r="G118" s="6">
        <f t="shared" si="3"/>
        <v>0</v>
      </c>
      <c r="H118" s="31"/>
      <c r="I118" s="40"/>
      <c r="J118" s="44"/>
      <c r="K118" s="44"/>
      <c r="L118" s="44"/>
      <c r="M118" s="44"/>
    </row>
    <row r="119" spans="1:13" ht="16.5" customHeight="1">
      <c r="A119" s="4"/>
      <c r="B119" s="5" t="s">
        <v>185</v>
      </c>
      <c r="C119" s="5" t="s">
        <v>155</v>
      </c>
      <c r="D119" s="18">
        <f>30000+10000+5000</f>
        <v>45000</v>
      </c>
      <c r="E119" s="6"/>
      <c r="F119" s="18">
        <f>20000+5000+5000+5000+10000</f>
        <v>45000</v>
      </c>
      <c r="G119" s="6"/>
      <c r="H119" s="31"/>
      <c r="I119" s="40"/>
      <c r="J119" s="29"/>
      <c r="K119" s="29"/>
      <c r="L119" s="29"/>
      <c r="M119" s="29"/>
    </row>
    <row r="120" spans="1:13" ht="48.75" customHeight="1">
      <c r="A120" s="4"/>
      <c r="B120" s="10" t="s">
        <v>54</v>
      </c>
      <c r="C120" s="10" t="s">
        <v>69</v>
      </c>
      <c r="D120" s="12">
        <f aca="true" t="shared" si="4" ref="D120:G121">D121</f>
        <v>0</v>
      </c>
      <c r="E120" s="12">
        <f t="shared" si="4"/>
        <v>0</v>
      </c>
      <c r="F120" s="19">
        <f t="shared" si="4"/>
        <v>0</v>
      </c>
      <c r="G120" s="12">
        <f t="shared" si="4"/>
        <v>0</v>
      </c>
      <c r="H120" s="31"/>
      <c r="I120" s="40"/>
      <c r="J120" s="29"/>
      <c r="K120" s="29"/>
      <c r="L120" s="29"/>
      <c r="M120" s="29"/>
    </row>
    <row r="121" spans="1:13" s="16" customFormat="1" ht="15.75" customHeight="1">
      <c r="A121" s="4">
        <v>2.48</v>
      </c>
      <c r="B121" s="5" t="s">
        <v>4</v>
      </c>
      <c r="C121" s="5" t="s">
        <v>16</v>
      </c>
      <c r="D121" s="6">
        <f t="shared" si="4"/>
        <v>0</v>
      </c>
      <c r="E121" s="6">
        <f t="shared" si="4"/>
        <v>0</v>
      </c>
      <c r="F121" s="18">
        <f t="shared" si="4"/>
        <v>0</v>
      </c>
      <c r="G121" s="6">
        <f t="shared" si="4"/>
        <v>0</v>
      </c>
      <c r="H121" s="31"/>
      <c r="I121" s="40"/>
      <c r="J121" s="44"/>
      <c r="K121" s="44"/>
      <c r="L121" s="44"/>
      <c r="M121" s="44"/>
    </row>
    <row r="122" spans="1:13" ht="18" customHeight="1">
      <c r="A122" s="4"/>
      <c r="B122" s="5" t="s">
        <v>137</v>
      </c>
      <c r="C122" s="5" t="s">
        <v>151</v>
      </c>
      <c r="D122" s="6"/>
      <c r="E122" s="6"/>
      <c r="F122" s="18"/>
      <c r="G122" s="6"/>
      <c r="H122" s="31"/>
      <c r="I122" s="40"/>
      <c r="J122" s="29"/>
      <c r="K122" s="29"/>
      <c r="L122" s="29"/>
      <c r="M122" s="29"/>
    </row>
    <row r="123" spans="1:13" ht="49.5" customHeight="1">
      <c r="A123" s="4"/>
      <c r="B123" s="10" t="s">
        <v>159</v>
      </c>
      <c r="C123" s="10" t="s">
        <v>160</v>
      </c>
      <c r="D123" s="12">
        <f>D126+D130+D124</f>
        <v>21503600</v>
      </c>
      <c r="E123" s="12">
        <f>E124+E126</f>
        <v>0</v>
      </c>
      <c r="F123" s="19">
        <f>F126+F124</f>
        <v>19183864.8</v>
      </c>
      <c r="G123" s="12">
        <f>G124+G126</f>
        <v>0</v>
      </c>
      <c r="H123" s="31"/>
      <c r="I123" s="40"/>
      <c r="J123" s="29"/>
      <c r="K123" s="29"/>
      <c r="L123" s="29"/>
      <c r="M123" s="29"/>
    </row>
    <row r="124" spans="1:13" ht="18" customHeight="1">
      <c r="A124" s="4">
        <v>2.48</v>
      </c>
      <c r="B124" s="5" t="s">
        <v>4</v>
      </c>
      <c r="C124" s="5" t="s">
        <v>16</v>
      </c>
      <c r="D124" s="6">
        <f>D125</f>
        <v>1200000</v>
      </c>
      <c r="E124" s="6">
        <f>E125</f>
        <v>0</v>
      </c>
      <c r="F124" s="18">
        <f>F125</f>
        <v>976309.4800000001</v>
      </c>
      <c r="G124" s="6">
        <f>G125</f>
        <v>0</v>
      </c>
      <c r="H124" s="31"/>
      <c r="I124" s="40"/>
      <c r="J124" s="29"/>
      <c r="K124" s="29"/>
      <c r="L124" s="29"/>
      <c r="M124" s="29"/>
    </row>
    <row r="125" spans="1:13" ht="18" customHeight="1">
      <c r="A125" s="4"/>
      <c r="B125" s="5" t="s">
        <v>137</v>
      </c>
      <c r="C125" s="5" t="s">
        <v>151</v>
      </c>
      <c r="D125" s="18">
        <f>3500000-2300000</f>
        <v>1200000</v>
      </c>
      <c r="E125" s="6"/>
      <c r="F125" s="18">
        <f>99000+770153.93+89155.55+18000</f>
        <v>976309.4800000001</v>
      </c>
      <c r="G125" s="6"/>
      <c r="H125" s="31"/>
      <c r="I125" s="40"/>
      <c r="J125" s="29"/>
      <c r="K125" s="29"/>
      <c r="L125" s="29"/>
      <c r="M125" s="29"/>
    </row>
    <row r="126" spans="1:13" ht="23.25" customHeight="1">
      <c r="A126" s="4"/>
      <c r="B126" s="5" t="s">
        <v>8</v>
      </c>
      <c r="C126" s="17" t="s">
        <v>26</v>
      </c>
      <c r="D126" s="18">
        <f>D127+D128+D129</f>
        <v>20303600</v>
      </c>
      <c r="E126" s="6">
        <f>E128</f>
        <v>0</v>
      </c>
      <c r="F126" s="18">
        <f>F127+F128+F129</f>
        <v>18207555.32</v>
      </c>
      <c r="G126" s="6">
        <f>G128</f>
        <v>0</v>
      </c>
      <c r="H126" s="31"/>
      <c r="I126" s="40"/>
      <c r="J126" s="29"/>
      <c r="K126" s="29"/>
      <c r="L126" s="29"/>
      <c r="M126" s="29"/>
    </row>
    <row r="127" spans="1:13" ht="23.25" customHeight="1">
      <c r="A127" s="4"/>
      <c r="B127" s="5" t="s">
        <v>112</v>
      </c>
      <c r="C127" s="5" t="s">
        <v>148</v>
      </c>
      <c r="D127" s="18"/>
      <c r="E127" s="6"/>
      <c r="F127" s="18"/>
      <c r="G127" s="6"/>
      <c r="H127" s="31"/>
      <c r="I127" s="40"/>
      <c r="J127" s="29"/>
      <c r="K127" s="29"/>
      <c r="L127" s="29"/>
      <c r="M127" s="29"/>
    </row>
    <row r="128" spans="1:13" ht="18" customHeight="1">
      <c r="A128" s="4"/>
      <c r="B128" s="5" t="s">
        <v>113</v>
      </c>
      <c r="C128" s="5" t="s">
        <v>150</v>
      </c>
      <c r="D128" s="18">
        <f>2000+20000+25000+20000+15000+6000+450000-700-297000</f>
        <v>240300</v>
      </c>
      <c r="E128" s="6"/>
      <c r="F128" s="18">
        <f>18360+42840+20000+6000+305.32+151895</f>
        <v>239400.32</v>
      </c>
      <c r="G128" s="6"/>
      <c r="H128" s="31"/>
      <c r="I128" s="40"/>
      <c r="J128" s="29"/>
      <c r="K128" s="29"/>
      <c r="L128" s="29"/>
      <c r="M128" s="29"/>
    </row>
    <row r="129" spans="1:13" ht="18" customHeight="1">
      <c r="A129" s="4"/>
      <c r="B129" s="5" t="s">
        <v>161</v>
      </c>
      <c r="C129" s="5" t="s">
        <v>151</v>
      </c>
      <c r="D129" s="18">
        <f>40000+16059000+2723300+1520700+700-1480400+1200000</f>
        <v>20063300</v>
      </c>
      <c r="E129" s="6"/>
      <c r="F129" s="18">
        <f>25893+3275030+8197206+10044+6459982</f>
        <v>17968155</v>
      </c>
      <c r="G129" s="6"/>
      <c r="H129" s="31"/>
      <c r="I129" s="40"/>
      <c r="J129" s="29"/>
      <c r="K129" s="29"/>
      <c r="L129" s="29"/>
      <c r="M129" s="29"/>
    </row>
    <row r="130" spans="1:13" ht="18" customHeight="1">
      <c r="A130" s="4"/>
      <c r="B130" s="5" t="s">
        <v>103</v>
      </c>
      <c r="C130" s="5" t="s">
        <v>150</v>
      </c>
      <c r="D130" s="18">
        <f>2824000-824000-2000000</f>
        <v>0</v>
      </c>
      <c r="E130" s="6"/>
      <c r="F130" s="18"/>
      <c r="G130" s="6"/>
      <c r="H130" s="31"/>
      <c r="I130" s="40"/>
      <c r="J130" s="29"/>
      <c r="K130" s="29"/>
      <c r="L130" s="29"/>
      <c r="M130" s="29"/>
    </row>
    <row r="131" spans="1:13" ht="72.75" customHeight="1">
      <c r="A131" s="4"/>
      <c r="B131" s="10" t="s">
        <v>55</v>
      </c>
      <c r="C131" s="10" t="s">
        <v>70</v>
      </c>
      <c r="D131" s="12">
        <f>D132</f>
        <v>0</v>
      </c>
      <c r="E131" s="12">
        <f>E132</f>
        <v>0</v>
      </c>
      <c r="F131" s="19">
        <f>F132</f>
        <v>0</v>
      </c>
      <c r="G131" s="12">
        <f>G132</f>
        <v>0</v>
      </c>
      <c r="H131" s="31"/>
      <c r="I131" s="40"/>
      <c r="J131" s="29"/>
      <c r="K131" s="29"/>
      <c r="L131" s="29"/>
      <c r="M131" s="29"/>
    </row>
    <row r="132" spans="1:13" s="16" customFormat="1" ht="17.25" customHeight="1">
      <c r="A132" s="14">
        <v>2.5</v>
      </c>
      <c r="B132" s="5" t="s">
        <v>32</v>
      </c>
      <c r="C132" s="5" t="s">
        <v>37</v>
      </c>
      <c r="D132" s="6">
        <f>D134</f>
        <v>0</v>
      </c>
      <c r="E132" s="6">
        <f>E134</f>
        <v>0</v>
      </c>
      <c r="F132" s="18">
        <f>F134</f>
        <v>0</v>
      </c>
      <c r="G132" s="6">
        <f>G134</f>
        <v>0</v>
      </c>
      <c r="H132" s="31"/>
      <c r="I132" s="40"/>
      <c r="J132" s="44"/>
      <c r="K132" s="44"/>
      <c r="L132" s="44"/>
      <c r="M132" s="44"/>
    </row>
    <row r="133" spans="1:13" ht="12.75" hidden="1">
      <c r="A133" s="4"/>
      <c r="B133" s="5"/>
      <c r="C133" s="5"/>
      <c r="D133" s="6"/>
      <c r="E133" s="6"/>
      <c r="F133" s="18"/>
      <c r="G133" s="6"/>
      <c r="H133" s="31"/>
      <c r="I133" s="40"/>
      <c r="J133" s="29"/>
      <c r="K133" s="29"/>
      <c r="L133" s="29"/>
      <c r="M133" s="29"/>
    </row>
    <row r="134" spans="1:13" ht="36.75" customHeight="1">
      <c r="A134" s="4"/>
      <c r="B134" s="5" t="s">
        <v>138</v>
      </c>
      <c r="C134" s="5" t="s">
        <v>156</v>
      </c>
      <c r="D134" s="6"/>
      <c r="E134" s="6"/>
      <c r="F134" s="18"/>
      <c r="G134" s="6"/>
      <c r="H134" s="31"/>
      <c r="I134" s="40"/>
      <c r="J134" s="29"/>
      <c r="K134" s="29"/>
      <c r="L134" s="29"/>
      <c r="M134" s="29"/>
    </row>
    <row r="135" spans="1:13" ht="18.75" customHeight="1">
      <c r="A135" s="4"/>
      <c r="B135" s="10" t="s">
        <v>56</v>
      </c>
      <c r="C135" s="10" t="s">
        <v>71</v>
      </c>
      <c r="D135" s="19">
        <f>D136</f>
        <v>0</v>
      </c>
      <c r="E135" s="19">
        <f>E136</f>
        <v>0</v>
      </c>
      <c r="F135" s="19">
        <f>F136</f>
        <v>0</v>
      </c>
      <c r="G135" s="12">
        <f>G136</f>
        <v>0</v>
      </c>
      <c r="H135" s="31"/>
      <c r="I135" s="40"/>
      <c r="J135" s="29"/>
      <c r="K135" s="29"/>
      <c r="L135" s="29"/>
      <c r="M135" s="29"/>
    </row>
    <row r="136" spans="1:13" s="16" customFormat="1" ht="24.75" customHeight="1">
      <c r="A136" s="4">
        <v>2.94</v>
      </c>
      <c r="B136" s="5" t="s">
        <v>20</v>
      </c>
      <c r="C136" s="5" t="s">
        <v>30</v>
      </c>
      <c r="D136" s="18"/>
      <c r="E136" s="18">
        <f>E138</f>
        <v>0</v>
      </c>
      <c r="F136" s="18"/>
      <c r="G136" s="6">
        <f>G138</f>
        <v>0</v>
      </c>
      <c r="H136" s="31"/>
      <c r="I136" s="40"/>
      <c r="J136" s="44"/>
      <c r="K136" s="44"/>
      <c r="L136" s="44"/>
      <c r="M136" s="44"/>
    </row>
    <row r="137" spans="1:13" ht="12.75" hidden="1">
      <c r="A137" s="4"/>
      <c r="B137" s="10"/>
      <c r="C137" s="5"/>
      <c r="D137" s="18"/>
      <c r="E137" s="18"/>
      <c r="F137" s="18"/>
      <c r="G137" s="6"/>
      <c r="H137" s="31"/>
      <c r="I137" s="40"/>
      <c r="J137" s="29"/>
      <c r="K137" s="29"/>
      <c r="L137" s="29"/>
      <c r="M137" s="29"/>
    </row>
    <row r="138" spans="1:13" ht="17.25" customHeight="1">
      <c r="A138" s="4"/>
      <c r="B138" s="5" t="s">
        <v>139</v>
      </c>
      <c r="C138" s="5" t="s">
        <v>157</v>
      </c>
      <c r="D138" s="18"/>
      <c r="E138" s="18">
        <f>D138</f>
        <v>0</v>
      </c>
      <c r="F138" s="18"/>
      <c r="G138" s="6">
        <f>F138</f>
        <v>0</v>
      </c>
      <c r="H138" s="31"/>
      <c r="I138" s="40"/>
      <c r="J138" s="29"/>
      <c r="K138" s="29"/>
      <c r="L138" s="29"/>
      <c r="M138" s="29"/>
    </row>
    <row r="139" spans="1:13" ht="61.5" customHeight="1">
      <c r="A139" s="4"/>
      <c r="B139" s="10" t="s">
        <v>60</v>
      </c>
      <c r="C139" s="10" t="s">
        <v>72</v>
      </c>
      <c r="D139" s="12">
        <f>D140</f>
        <v>0</v>
      </c>
      <c r="E139" s="12">
        <f>E140</f>
        <v>0</v>
      </c>
      <c r="F139" s="19">
        <f>F140</f>
        <v>0</v>
      </c>
      <c r="G139" s="12">
        <f>G140</f>
        <v>0</v>
      </c>
      <c r="H139" s="31"/>
      <c r="I139" s="40"/>
      <c r="J139" s="29"/>
      <c r="K139" s="29"/>
      <c r="L139" s="29"/>
      <c r="M139" s="29"/>
    </row>
    <row r="140" spans="1:13" s="16" customFormat="1" ht="19.5" customHeight="1">
      <c r="A140" s="4">
        <v>2.48</v>
      </c>
      <c r="B140" s="5" t="s">
        <v>4</v>
      </c>
      <c r="C140" s="5" t="s">
        <v>16</v>
      </c>
      <c r="D140" s="6">
        <f>D142</f>
        <v>0</v>
      </c>
      <c r="E140" s="6">
        <f>E142</f>
        <v>0</v>
      </c>
      <c r="F140" s="18">
        <f>F142</f>
        <v>0</v>
      </c>
      <c r="G140" s="6">
        <f>G142</f>
        <v>0</v>
      </c>
      <c r="H140" s="31"/>
      <c r="I140" s="40"/>
      <c r="J140" s="44"/>
      <c r="K140" s="44"/>
      <c r="L140" s="44"/>
      <c r="M140" s="44"/>
    </row>
    <row r="141" spans="1:13" ht="12.75" hidden="1">
      <c r="A141" s="4"/>
      <c r="B141" s="10"/>
      <c r="C141" s="5"/>
      <c r="D141" s="6"/>
      <c r="E141" s="6"/>
      <c r="F141" s="18"/>
      <c r="G141" s="6"/>
      <c r="H141" s="31"/>
      <c r="I141" s="40"/>
      <c r="J141" s="29"/>
      <c r="K141" s="29"/>
      <c r="L141" s="29"/>
      <c r="M141" s="29"/>
    </row>
    <row r="142" spans="1:13" ht="36.75" customHeight="1">
      <c r="A142" s="4"/>
      <c r="B142" s="5" t="s">
        <v>106</v>
      </c>
      <c r="C142" s="5" t="s">
        <v>158</v>
      </c>
      <c r="D142" s="6">
        <f>424000-424000</f>
        <v>0</v>
      </c>
      <c r="E142" s="6"/>
      <c r="F142" s="18"/>
      <c r="G142" s="6"/>
      <c r="H142" s="31"/>
      <c r="I142" s="40"/>
      <c r="J142" s="29"/>
      <c r="K142" s="29"/>
      <c r="L142" s="29"/>
      <c r="M142" s="29"/>
    </row>
    <row r="143" spans="1:13" ht="36.75" customHeight="1">
      <c r="A143" s="4"/>
      <c r="B143" s="10" t="s">
        <v>162</v>
      </c>
      <c r="C143" s="5" t="s">
        <v>153</v>
      </c>
      <c r="D143" s="12"/>
      <c r="E143" s="12"/>
      <c r="F143" s="19">
        <f>F144</f>
        <v>0</v>
      </c>
      <c r="G143" s="6"/>
      <c r="H143" s="31"/>
      <c r="I143" s="40"/>
      <c r="J143" s="29"/>
      <c r="K143" s="29"/>
      <c r="L143" s="29"/>
      <c r="M143" s="29"/>
    </row>
    <row r="144" spans="1:13" ht="36.75" customHeight="1">
      <c r="A144" s="4"/>
      <c r="B144" s="5" t="s">
        <v>163</v>
      </c>
      <c r="C144" s="5" t="s">
        <v>164</v>
      </c>
      <c r="D144" s="6"/>
      <c r="E144" s="6"/>
      <c r="F144" s="18"/>
      <c r="G144" s="6"/>
      <c r="H144" s="31"/>
      <c r="I144" s="40"/>
      <c r="J144" s="29"/>
      <c r="K144" s="29"/>
      <c r="L144" s="29"/>
      <c r="M144" s="29"/>
    </row>
    <row r="145" spans="1:13" ht="27.75" customHeight="1">
      <c r="A145" s="4"/>
      <c r="B145" s="10" t="s">
        <v>57</v>
      </c>
      <c r="C145" s="10" t="s">
        <v>73</v>
      </c>
      <c r="D145" s="12">
        <f>D146+D148</f>
        <v>135000</v>
      </c>
      <c r="E145" s="12">
        <f>E146+E148</f>
        <v>0</v>
      </c>
      <c r="F145" s="19">
        <f>F146+F148</f>
        <v>134278</v>
      </c>
      <c r="G145" s="12">
        <f>G146+G148</f>
        <v>0</v>
      </c>
      <c r="H145" s="31"/>
      <c r="I145" s="40"/>
      <c r="J145" s="29"/>
      <c r="K145" s="29"/>
      <c r="L145" s="29"/>
      <c r="M145" s="29"/>
    </row>
    <row r="146" spans="1:13" s="16" customFormat="1" ht="59.25" customHeight="1">
      <c r="A146" s="4">
        <v>2.5</v>
      </c>
      <c r="B146" s="5" t="s">
        <v>22</v>
      </c>
      <c r="C146" s="5" t="s">
        <v>10</v>
      </c>
      <c r="D146" s="6">
        <f>D147</f>
        <v>125000</v>
      </c>
      <c r="E146" s="6">
        <f>E147</f>
        <v>0</v>
      </c>
      <c r="F146" s="18">
        <f>F147</f>
        <v>124901</v>
      </c>
      <c r="G146" s="6">
        <f>G147</f>
        <v>0</v>
      </c>
      <c r="H146" s="31"/>
      <c r="I146" s="40"/>
      <c r="J146" s="44"/>
      <c r="K146" s="44"/>
      <c r="L146" s="44"/>
      <c r="M146" s="44"/>
    </row>
    <row r="147" spans="1:13" ht="15" customHeight="1">
      <c r="A147" s="4"/>
      <c r="B147" s="5" t="s">
        <v>140</v>
      </c>
      <c r="C147" s="5" t="s">
        <v>153</v>
      </c>
      <c r="D147" s="18">
        <f>52000-20000+82000+5000+2000+5000-1000</f>
        <v>125000</v>
      </c>
      <c r="E147" s="6"/>
      <c r="F147" s="18">
        <f>113113+4313+3160+4315</f>
        <v>124901</v>
      </c>
      <c r="G147" s="6"/>
      <c r="H147" s="31"/>
      <c r="I147" s="40"/>
      <c r="J147" s="29"/>
      <c r="K147" s="29"/>
      <c r="L147" s="29"/>
      <c r="M147" s="29"/>
    </row>
    <row r="148" spans="1:13" s="16" customFormat="1" ht="18" customHeight="1">
      <c r="A148" s="4">
        <v>2.66</v>
      </c>
      <c r="B148" s="5" t="s">
        <v>27</v>
      </c>
      <c r="C148" s="5" t="s">
        <v>43</v>
      </c>
      <c r="D148" s="18">
        <f>D149</f>
        <v>10000</v>
      </c>
      <c r="E148" s="6">
        <f>E149</f>
        <v>0</v>
      </c>
      <c r="F148" s="18">
        <f>F149</f>
        <v>9377</v>
      </c>
      <c r="G148" s="6">
        <f>G149</f>
        <v>0</v>
      </c>
      <c r="H148" s="31"/>
      <c r="I148" s="40"/>
      <c r="J148" s="44"/>
      <c r="K148" s="44"/>
      <c r="L148" s="44"/>
      <c r="M148" s="44"/>
    </row>
    <row r="149" spans="1:13" ht="18" customHeight="1">
      <c r="A149" s="4"/>
      <c r="B149" s="5" t="s">
        <v>141</v>
      </c>
      <c r="C149" s="5" t="s">
        <v>153</v>
      </c>
      <c r="D149" s="18">
        <f>26000-16000</f>
        <v>10000</v>
      </c>
      <c r="E149" s="6"/>
      <c r="F149" s="18">
        <f>2923+3709+2745</f>
        <v>9377</v>
      </c>
      <c r="G149" s="6"/>
      <c r="H149" s="31"/>
      <c r="I149" s="40"/>
      <c r="J149" s="29"/>
      <c r="K149" s="29"/>
      <c r="L149" s="29"/>
      <c r="M149" s="29"/>
    </row>
    <row r="150" spans="1:13" ht="18" customHeight="1">
      <c r="A150" s="4"/>
      <c r="B150" s="10" t="s">
        <v>58</v>
      </c>
      <c r="C150" s="10" t="s">
        <v>74</v>
      </c>
      <c r="D150" s="19">
        <f>D151+D153</f>
        <v>32000</v>
      </c>
      <c r="E150" s="12">
        <f>E151+E153</f>
        <v>0</v>
      </c>
      <c r="F150" s="19">
        <f>F151+F153</f>
        <v>31940</v>
      </c>
      <c r="G150" s="12">
        <f>G151+G153</f>
        <v>0</v>
      </c>
      <c r="H150" s="31"/>
      <c r="I150" s="40"/>
      <c r="J150" s="29"/>
      <c r="K150" s="29"/>
      <c r="L150" s="29"/>
      <c r="M150" s="29"/>
    </row>
    <row r="151" spans="1:13" s="16" customFormat="1" ht="57.75" customHeight="1">
      <c r="A151" s="4">
        <v>2.5</v>
      </c>
      <c r="B151" s="5" t="s">
        <v>22</v>
      </c>
      <c r="C151" s="5" t="s">
        <v>10</v>
      </c>
      <c r="D151" s="18">
        <f>D152</f>
        <v>21000</v>
      </c>
      <c r="E151" s="6">
        <f>E152</f>
        <v>0</v>
      </c>
      <c r="F151" s="18">
        <f>F152</f>
        <v>20991</v>
      </c>
      <c r="G151" s="6">
        <f>G152</f>
        <v>0</v>
      </c>
      <c r="H151" s="31"/>
      <c r="I151" s="40"/>
      <c r="J151" s="44"/>
      <c r="K151" s="44"/>
      <c r="L151" s="44"/>
      <c r="M151" s="44"/>
    </row>
    <row r="152" spans="1:13" ht="16.5" customHeight="1">
      <c r="A152" s="4"/>
      <c r="B152" s="5" t="s">
        <v>140</v>
      </c>
      <c r="C152" s="5" t="s">
        <v>153</v>
      </c>
      <c r="D152" s="18">
        <f>3000+20000-2000</f>
        <v>21000</v>
      </c>
      <c r="E152" s="6"/>
      <c r="F152" s="18">
        <f>20991</f>
        <v>20991</v>
      </c>
      <c r="G152" s="6"/>
      <c r="H152" s="31"/>
      <c r="I152" s="40"/>
      <c r="J152" s="29"/>
      <c r="K152" s="29"/>
      <c r="L152" s="29"/>
      <c r="M152" s="29"/>
    </row>
    <row r="153" spans="1:13" s="16" customFormat="1" ht="16.5" customHeight="1">
      <c r="A153" s="4">
        <v>2.66</v>
      </c>
      <c r="B153" s="5" t="s">
        <v>27</v>
      </c>
      <c r="C153" s="5" t="s">
        <v>43</v>
      </c>
      <c r="D153" s="18">
        <f>D154</f>
        <v>11000</v>
      </c>
      <c r="E153" s="6">
        <f>E154</f>
        <v>0</v>
      </c>
      <c r="F153" s="18">
        <f>F154</f>
        <v>10949</v>
      </c>
      <c r="G153" s="6">
        <f>G154</f>
        <v>0</v>
      </c>
      <c r="H153" s="31"/>
      <c r="I153" s="40"/>
      <c r="J153" s="44"/>
      <c r="K153" s="44"/>
      <c r="L153" s="44"/>
      <c r="M153" s="44"/>
    </row>
    <row r="154" spans="1:13" ht="18" customHeight="1">
      <c r="A154" s="4"/>
      <c r="B154" s="5" t="s">
        <v>141</v>
      </c>
      <c r="C154" s="5" t="s">
        <v>153</v>
      </c>
      <c r="D154" s="18">
        <f>10000+1000</f>
        <v>11000</v>
      </c>
      <c r="E154" s="6"/>
      <c r="F154" s="18">
        <f>8640+1912+337+9+51</f>
        <v>10949</v>
      </c>
      <c r="G154" s="6"/>
      <c r="H154" s="31"/>
      <c r="I154" s="40"/>
      <c r="J154" s="29"/>
      <c r="K154" s="29"/>
      <c r="L154" s="29"/>
      <c r="M154" s="29"/>
    </row>
    <row r="155" spans="1:13" ht="16.5" customHeight="1">
      <c r="A155" s="4"/>
      <c r="B155" s="10" t="s">
        <v>59</v>
      </c>
      <c r="C155" s="10" t="s">
        <v>75</v>
      </c>
      <c r="D155" s="19">
        <f>D156+D158</f>
        <v>28000</v>
      </c>
      <c r="E155" s="12">
        <f>E156+E158</f>
        <v>0</v>
      </c>
      <c r="F155" s="19">
        <f>F156+F158</f>
        <v>26985.270000000004</v>
      </c>
      <c r="G155" s="12">
        <f>G156+G158</f>
        <v>0</v>
      </c>
      <c r="H155" s="31"/>
      <c r="I155" s="40"/>
      <c r="J155" s="29"/>
      <c r="K155" s="29"/>
      <c r="L155" s="29"/>
      <c r="M155" s="29"/>
    </row>
    <row r="156" spans="1:13" s="16" customFormat="1" ht="60" customHeight="1">
      <c r="A156" s="4">
        <v>2.5</v>
      </c>
      <c r="B156" s="5" t="s">
        <v>22</v>
      </c>
      <c r="C156" s="5" t="s">
        <v>10</v>
      </c>
      <c r="D156" s="6">
        <f>D157</f>
        <v>27000</v>
      </c>
      <c r="E156" s="6">
        <f>E157</f>
        <v>0</v>
      </c>
      <c r="F156" s="18">
        <f>F157</f>
        <v>26731.870000000003</v>
      </c>
      <c r="G156" s="6">
        <f>G157</f>
        <v>0</v>
      </c>
      <c r="H156" s="31"/>
      <c r="I156" s="40"/>
      <c r="J156" s="44"/>
      <c r="K156" s="44"/>
      <c r="L156" s="44"/>
      <c r="M156" s="44"/>
    </row>
    <row r="157" spans="1:13" ht="16.5" customHeight="1">
      <c r="A157" s="4"/>
      <c r="B157" s="5" t="s">
        <v>140</v>
      </c>
      <c r="C157" s="5" t="s">
        <v>153</v>
      </c>
      <c r="D157" s="26">
        <f>45000-5000-5000-8000</f>
        <v>27000</v>
      </c>
      <c r="E157" s="6"/>
      <c r="F157" s="18">
        <f>26695.47+36.4</f>
        <v>26731.870000000003</v>
      </c>
      <c r="G157" s="6"/>
      <c r="H157" s="31"/>
      <c r="I157" s="40"/>
      <c r="J157" s="29"/>
      <c r="K157" s="29"/>
      <c r="L157" s="29"/>
      <c r="M157" s="29"/>
    </row>
    <row r="158" spans="1:13" s="16" customFormat="1" ht="17.25" customHeight="1">
      <c r="A158" s="4">
        <v>2.66</v>
      </c>
      <c r="B158" s="5" t="s">
        <v>27</v>
      </c>
      <c r="C158" s="5" t="s">
        <v>43</v>
      </c>
      <c r="D158" s="26">
        <f>D159</f>
        <v>1000</v>
      </c>
      <c r="E158" s="6">
        <f>E159</f>
        <v>0</v>
      </c>
      <c r="F158" s="18">
        <f>F159</f>
        <v>253.4</v>
      </c>
      <c r="G158" s="6">
        <f>G159</f>
        <v>0</v>
      </c>
      <c r="H158" s="31"/>
      <c r="I158" s="40"/>
      <c r="J158" s="44"/>
      <c r="K158" s="44"/>
      <c r="L158" s="44"/>
      <c r="M158" s="44"/>
    </row>
    <row r="159" spans="1:13" ht="15.75" customHeight="1">
      <c r="A159" s="4"/>
      <c r="B159" s="5" t="s">
        <v>141</v>
      </c>
      <c r="C159" s="5" t="s">
        <v>153</v>
      </c>
      <c r="D159" s="18">
        <f>4000-1000-2000</f>
        <v>1000</v>
      </c>
      <c r="E159" s="6"/>
      <c r="F159" s="18">
        <f>253.4</f>
        <v>253.4</v>
      </c>
      <c r="G159" s="6"/>
      <c r="H159" s="31"/>
      <c r="I159" s="40"/>
      <c r="J159" s="29"/>
      <c r="K159" s="29"/>
      <c r="L159" s="29"/>
      <c r="M159" s="29"/>
    </row>
    <row r="160" spans="1:13" ht="16.5" customHeight="1">
      <c r="A160" s="4"/>
      <c r="B160" s="10" t="s">
        <v>61</v>
      </c>
      <c r="C160" s="10" t="s">
        <v>76</v>
      </c>
      <c r="D160" s="12">
        <f aca="true" t="shared" si="5" ref="D160:G161">D161</f>
        <v>0</v>
      </c>
      <c r="E160" s="12">
        <f t="shared" si="5"/>
        <v>0</v>
      </c>
      <c r="F160" s="19">
        <f t="shared" si="5"/>
        <v>0</v>
      </c>
      <c r="G160" s="12">
        <f t="shared" si="5"/>
        <v>0</v>
      </c>
      <c r="H160" s="31"/>
      <c r="I160" s="40"/>
      <c r="J160" s="29"/>
      <c r="K160" s="29"/>
      <c r="L160" s="29"/>
      <c r="M160" s="29"/>
    </row>
    <row r="161" spans="1:13" ht="15.75" customHeight="1">
      <c r="A161" s="4">
        <v>2.12</v>
      </c>
      <c r="B161" s="5" t="s">
        <v>5</v>
      </c>
      <c r="C161" s="5" t="s">
        <v>2</v>
      </c>
      <c r="D161" s="6">
        <f t="shared" si="5"/>
        <v>0</v>
      </c>
      <c r="E161" s="6">
        <f t="shared" si="5"/>
        <v>0</v>
      </c>
      <c r="F161" s="18">
        <f t="shared" si="5"/>
        <v>0</v>
      </c>
      <c r="G161" s="6">
        <f t="shared" si="5"/>
        <v>0</v>
      </c>
      <c r="H161" s="31"/>
      <c r="I161" s="40"/>
      <c r="J161" s="29"/>
      <c r="K161" s="29"/>
      <c r="L161" s="29"/>
      <c r="M161" s="29"/>
    </row>
    <row r="162" spans="1:13" ht="18.75" customHeight="1">
      <c r="A162" s="4"/>
      <c r="B162" s="5" t="s">
        <v>142</v>
      </c>
      <c r="C162" s="5" t="s">
        <v>153</v>
      </c>
      <c r="D162" s="6"/>
      <c r="E162" s="6"/>
      <c r="F162" s="6"/>
      <c r="G162" s="6"/>
      <c r="H162" s="31"/>
      <c r="I162" s="40"/>
      <c r="J162" s="29"/>
      <c r="K162" s="29"/>
      <c r="L162" s="29"/>
      <c r="M162" s="29"/>
    </row>
    <row r="163" spans="1:13" s="2" customFormat="1" ht="26.25" customHeight="1">
      <c r="A163" s="7" t="s">
        <v>23</v>
      </c>
      <c r="B163" s="8" t="s">
        <v>15</v>
      </c>
      <c r="C163" s="8" t="s">
        <v>9</v>
      </c>
      <c r="D163" s="20">
        <f>56447300+2246.7+25000+10000000+1629044+50000+849264-849264+817260+4200+425784+1520700+3500000-1480400-2300000-561050+40000+900000+1300000+1200000-D6</f>
        <v>-800000</v>
      </c>
      <c r="E163" s="20">
        <f>26979154.7+10000000-849264+817260+1520700+425784+3500000-1480400-2300000-561050+1200000</f>
        <v>39252184.7</v>
      </c>
      <c r="F163" s="20">
        <f>72384148.57-F6</f>
        <v>1012350.2199999988</v>
      </c>
      <c r="G163" s="20">
        <v>37353697.7</v>
      </c>
      <c r="H163" s="31"/>
      <c r="I163" s="40"/>
      <c r="J163" s="41"/>
      <c r="K163" s="41"/>
      <c r="L163" s="41"/>
      <c r="M163" s="41"/>
    </row>
    <row r="164" spans="1:8" ht="12.75">
      <c r="A164" s="34" t="s">
        <v>34</v>
      </c>
      <c r="B164" s="35"/>
      <c r="C164" s="35"/>
      <c r="D164" s="1" t="s">
        <v>34</v>
      </c>
      <c r="E164" s="29"/>
      <c r="F164" s="29"/>
      <c r="G164" s="29"/>
      <c r="H164" s="22"/>
    </row>
    <row r="165" spans="1:9" ht="15">
      <c r="A165" s="13"/>
      <c r="B165" t="s">
        <v>195</v>
      </c>
      <c r="D165" s="15"/>
      <c r="E165" s="21" t="s">
        <v>196</v>
      </c>
      <c r="H165" s="22"/>
      <c r="I165" t="s">
        <v>186</v>
      </c>
    </row>
    <row r="166" spans="1:8" ht="15">
      <c r="A166" s="13"/>
      <c r="D166" s="15"/>
      <c r="H166" s="22"/>
    </row>
    <row r="167" ht="12.75">
      <c r="H167" s="22"/>
    </row>
    <row r="168" spans="2:8" ht="12.75">
      <c r="B168" t="s">
        <v>80</v>
      </c>
      <c r="E168" s="21" t="s">
        <v>166</v>
      </c>
      <c r="G168" t="s">
        <v>34</v>
      </c>
      <c r="H168" s="22"/>
    </row>
    <row r="169" ht="12.75">
      <c r="H169" s="22"/>
    </row>
    <row r="170" ht="12.75">
      <c r="H170" s="22"/>
    </row>
    <row r="171" ht="12.75">
      <c r="H171" s="22"/>
    </row>
    <row r="172" ht="12.75">
      <c r="H172" s="22"/>
    </row>
    <row r="173" ht="12.75">
      <c r="H173" s="22"/>
    </row>
    <row r="174" ht="12.75">
      <c r="H174" s="22"/>
    </row>
    <row r="175" ht="12.75">
      <c r="H175" s="22"/>
    </row>
    <row r="176" ht="12.75">
      <c r="H176" s="22"/>
    </row>
    <row r="177" ht="12.75">
      <c r="H177" s="22"/>
    </row>
    <row r="178" ht="12.75">
      <c r="H178" s="22"/>
    </row>
    <row r="179" ht="12.75">
      <c r="H179" s="22"/>
    </row>
    <row r="180" ht="12.75">
      <c r="H180" s="22"/>
    </row>
    <row r="181" ht="12.75">
      <c r="H181" s="22"/>
    </row>
    <row r="182" ht="12.75">
      <c r="H182" s="22"/>
    </row>
    <row r="183" ht="12.75">
      <c r="H183" s="22"/>
    </row>
    <row r="184" ht="12.75">
      <c r="H184" s="22"/>
    </row>
    <row r="185" ht="12.75">
      <c r="H185" s="22"/>
    </row>
    <row r="186" ht="12.75">
      <c r="H186" s="22"/>
    </row>
    <row r="187" ht="12.75">
      <c r="H187" s="22"/>
    </row>
    <row r="188" ht="12.75">
      <c r="H188" s="22"/>
    </row>
    <row r="189" ht="12.75">
      <c r="H189" s="22"/>
    </row>
    <row r="190" ht="12.75">
      <c r="H190" s="22"/>
    </row>
    <row r="191" ht="12.75">
      <c r="H191" s="22"/>
    </row>
    <row r="192" ht="12.75">
      <c r="H192" s="22"/>
    </row>
    <row r="193" ht="12.75">
      <c r="H193" s="22"/>
    </row>
    <row r="194" ht="12.75">
      <c r="H194" s="22"/>
    </row>
    <row r="195" ht="12.75">
      <c r="H195" s="22"/>
    </row>
    <row r="196" ht="12.75">
      <c r="H196" s="22"/>
    </row>
    <row r="197" ht="12.75">
      <c r="H197" s="22"/>
    </row>
    <row r="198" ht="12.75">
      <c r="H198" s="22"/>
    </row>
    <row r="199" ht="12.75">
      <c r="H199" s="22"/>
    </row>
    <row r="200" ht="12.75">
      <c r="H200" s="22"/>
    </row>
    <row r="201" ht="12.75">
      <c r="H201" s="22"/>
    </row>
    <row r="202" ht="12.75">
      <c r="H202" s="22"/>
    </row>
    <row r="203" ht="12.75">
      <c r="H203" s="22"/>
    </row>
    <row r="204" ht="12.75">
      <c r="H204" s="22"/>
    </row>
    <row r="205" ht="12.75">
      <c r="H205" s="22"/>
    </row>
    <row r="206" ht="12.75">
      <c r="H206" s="22"/>
    </row>
    <row r="207" ht="12.75">
      <c r="H207" s="22"/>
    </row>
    <row r="208" ht="12.75">
      <c r="H208" s="22"/>
    </row>
    <row r="209" ht="12.75">
      <c r="H209" s="22"/>
    </row>
    <row r="210" ht="12.75">
      <c r="H210" s="22"/>
    </row>
    <row r="211" ht="12.75">
      <c r="H211" s="22"/>
    </row>
    <row r="212" ht="12.75">
      <c r="H212" s="22"/>
    </row>
    <row r="213" ht="12.75">
      <c r="H213" s="22"/>
    </row>
    <row r="214" ht="12.75">
      <c r="H214" s="22"/>
    </row>
    <row r="215" ht="12.75">
      <c r="H215" s="22"/>
    </row>
    <row r="216" ht="12.75">
      <c r="H216" s="22"/>
    </row>
    <row r="217" ht="12.75">
      <c r="H217" s="22"/>
    </row>
    <row r="218" ht="12.75">
      <c r="H218" s="22"/>
    </row>
    <row r="219" ht="12.75">
      <c r="H219" s="22"/>
    </row>
    <row r="220" ht="12.75">
      <c r="H220" s="22"/>
    </row>
    <row r="221" ht="12.75">
      <c r="H221" s="22"/>
    </row>
    <row r="222" ht="12.75">
      <c r="H222" s="22"/>
    </row>
    <row r="223" ht="12.75">
      <c r="H223" s="22"/>
    </row>
    <row r="224" ht="12.75">
      <c r="H224" s="22"/>
    </row>
    <row r="225" ht="12.75">
      <c r="H225" s="22"/>
    </row>
    <row r="226" ht="12.75">
      <c r="H226" s="22"/>
    </row>
    <row r="227" ht="12.75">
      <c r="H227" s="22"/>
    </row>
    <row r="228" ht="12.75">
      <c r="H228" s="22"/>
    </row>
    <row r="229" ht="12.75">
      <c r="H229" s="22"/>
    </row>
    <row r="230" ht="12.75">
      <c r="H230" s="22"/>
    </row>
    <row r="231" ht="12.75">
      <c r="H231" s="22"/>
    </row>
    <row r="232" ht="12.75">
      <c r="H232" s="22"/>
    </row>
    <row r="233" ht="12.75">
      <c r="H233" s="22"/>
    </row>
    <row r="234" ht="12.75">
      <c r="H234" s="22"/>
    </row>
    <row r="235" ht="12.75">
      <c r="H235" s="22"/>
    </row>
    <row r="236" ht="12.75">
      <c r="H236" s="22"/>
    </row>
    <row r="237" ht="12.75">
      <c r="H237" s="22"/>
    </row>
    <row r="238" ht="12.75">
      <c r="H238" s="22"/>
    </row>
    <row r="239" ht="12.75">
      <c r="H239" s="22"/>
    </row>
    <row r="240" ht="12.75">
      <c r="H240" s="22"/>
    </row>
    <row r="241" ht="12.75">
      <c r="H241" s="22"/>
    </row>
    <row r="242" ht="12.75">
      <c r="H242" s="22"/>
    </row>
    <row r="243" ht="12.75">
      <c r="H243" s="22"/>
    </row>
    <row r="244" ht="12.75">
      <c r="H244" s="22"/>
    </row>
    <row r="245" ht="12.75">
      <c r="H245" s="22"/>
    </row>
    <row r="246" ht="12.75">
      <c r="H246" s="22"/>
    </row>
    <row r="247" ht="12.75">
      <c r="H247" s="22"/>
    </row>
    <row r="248" ht="12.75">
      <c r="H248" s="22"/>
    </row>
    <row r="249" ht="12.75">
      <c r="H249" s="22"/>
    </row>
    <row r="250" ht="12.75">
      <c r="H250" s="22"/>
    </row>
    <row r="251" ht="12.75">
      <c r="H251" s="22"/>
    </row>
    <row r="252" ht="12.75">
      <c r="H252" s="22"/>
    </row>
    <row r="253" ht="12.75">
      <c r="H253" s="22"/>
    </row>
    <row r="254" ht="12.75">
      <c r="H254" s="22"/>
    </row>
    <row r="255" ht="12.75">
      <c r="H255" s="22"/>
    </row>
    <row r="256" ht="12.75">
      <c r="H256" s="22"/>
    </row>
    <row r="257" ht="12.75">
      <c r="H257" s="22"/>
    </row>
    <row r="258" ht="12.75">
      <c r="H258" s="22"/>
    </row>
    <row r="259" ht="12.75">
      <c r="H259" s="22"/>
    </row>
    <row r="260" ht="12.75">
      <c r="H260" s="22"/>
    </row>
    <row r="261" ht="12.75">
      <c r="H261" s="22"/>
    </row>
    <row r="262" ht="12.75">
      <c r="H262" s="22"/>
    </row>
    <row r="263" ht="12.75">
      <c r="H263" s="22"/>
    </row>
    <row r="264" ht="12.75">
      <c r="H264" s="22"/>
    </row>
    <row r="265" ht="12.75">
      <c r="H265" s="22"/>
    </row>
    <row r="266" ht="12.75">
      <c r="H266" s="22"/>
    </row>
    <row r="267" ht="12.75">
      <c r="H267" s="22"/>
    </row>
    <row r="268" ht="12.75">
      <c r="H268" s="22"/>
    </row>
    <row r="269" ht="12.75">
      <c r="H269" s="22"/>
    </row>
    <row r="270" ht="12.75">
      <c r="H270" s="22"/>
    </row>
    <row r="271" ht="12.75">
      <c r="H271" s="22"/>
    </row>
    <row r="272" ht="12.75">
      <c r="H272" s="22"/>
    </row>
    <row r="273" ht="12.75">
      <c r="H273" s="22"/>
    </row>
    <row r="274" ht="12.75">
      <c r="H274" s="22"/>
    </row>
    <row r="275" ht="12.75">
      <c r="H275" s="22"/>
    </row>
    <row r="276" ht="12.75">
      <c r="H276" s="22"/>
    </row>
    <row r="277" ht="12.75">
      <c r="H277" s="22"/>
    </row>
    <row r="278" ht="12.75">
      <c r="H278" s="22"/>
    </row>
    <row r="279" ht="12.75">
      <c r="H279" s="22"/>
    </row>
    <row r="280" ht="12.75">
      <c r="H280" s="22"/>
    </row>
    <row r="281" ht="12.75">
      <c r="H281" s="22"/>
    </row>
    <row r="282" ht="12.75">
      <c r="H282" s="22"/>
    </row>
    <row r="283" ht="12.75">
      <c r="H283" s="22"/>
    </row>
    <row r="284" ht="12.75">
      <c r="H284" s="22"/>
    </row>
    <row r="285" ht="12.75">
      <c r="H285" s="22"/>
    </row>
    <row r="286" ht="12.75">
      <c r="H286" s="22"/>
    </row>
    <row r="287" ht="12.75">
      <c r="H287" s="22"/>
    </row>
    <row r="288" ht="12.75">
      <c r="H288" s="22"/>
    </row>
    <row r="289" ht="12.75">
      <c r="H289" s="22"/>
    </row>
    <row r="290" ht="12.75">
      <c r="H290" s="22"/>
    </row>
    <row r="291" ht="12.75">
      <c r="H291" s="22"/>
    </row>
    <row r="292" ht="12.75">
      <c r="H292" s="22"/>
    </row>
    <row r="293" ht="12.75">
      <c r="H293" s="22"/>
    </row>
    <row r="294" ht="12.75">
      <c r="H294" s="22"/>
    </row>
    <row r="295" ht="12.75">
      <c r="H295" s="22"/>
    </row>
    <row r="296" ht="12.75">
      <c r="H296" s="22"/>
    </row>
    <row r="297" ht="12.75">
      <c r="H297" s="22"/>
    </row>
    <row r="298" ht="12.75">
      <c r="H298" s="22"/>
    </row>
  </sheetData>
  <sheetProtection/>
  <mergeCells count="6">
    <mergeCell ref="A1:G1"/>
    <mergeCell ref="A3:G3"/>
    <mergeCell ref="A164:C164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2019-01-09T12:58:31Z</cp:lastPrinted>
  <dcterms:created xsi:type="dcterms:W3CDTF">2016-02-15T06:23:39Z</dcterms:created>
  <dcterms:modified xsi:type="dcterms:W3CDTF">2019-01-30T08:48:58Z</dcterms:modified>
  <cp:category/>
  <cp:version/>
  <cp:contentType/>
  <cp:contentStatus/>
</cp:coreProperties>
</file>