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<sst xmlns="http://schemas.openxmlformats.org/spreadsheetml/2006/main" count="323" uniqueCount="194">
  <si>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</si>
  <si>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</si>
  <si>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</si>
  <si>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</si>
  <si>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</si>
  <si>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</si>
  <si>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</si>
  <si>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</si>
  <si>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</si>
  <si>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</si>
  <si>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</si>
  <si>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</si>
  <si>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</si>
  <si>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</si>
  <si>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</si>
  <si>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</si>
  <si>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</si>
  <si>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</si>
  <si>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</si>
  <si>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</si>
  <si>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</si>
  <si>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</si>
  <si>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</si>
  <si>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</si>
  <si>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</si>
  <si>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</si>
  <si>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</si>
  <si>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</si>
  <si>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</si>
  <si>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</si>
  <si>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</si>
  <si>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</si>
  <si>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</si>
  <si>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</si>
  <si>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</si>
  <si>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</si>
  <si>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</si>
  <si>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</si>
  <si>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</si>
  <si>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</si>
  <si>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</si>
  <si>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</si>
  <si>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</si>
  <si>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</si>
  <si>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</si>
  <si>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</si>
  <si>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</si>
  <si>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</si>
  <si>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</si>
  <si>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</si>
  <si>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</si>
  <si>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</si>
  <si>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</si>
  <si>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</si>
  <si>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</si>
  <si>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</si>
  <si>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</si>
  <si>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</si>
  <si>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</si>
  <si>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</si>
  <si>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</si>
  <si>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</si>
  <si>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</si>
  <si>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</si>
  <si>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</si>
  <si>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</si>
  <si>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</si>
  <si>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</si>
  <si>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</si>
  <si>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</si>
  <si>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</si>
  <si>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</si>
  <si>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</si>
  <si>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</si>
  <si>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</si>
  <si>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</si>
  <si>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</si>
  <si>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</si>
  <si>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</si>
  <si>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</si>
  <si>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</si>
  <si>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</si>
  <si>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</si>
  <si>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</si>
  <si>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</si>
  <si>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</si>
  <si>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</si>
  <si>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</si>
  <si>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</si>
  <si>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</si>
  <si>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</si>
  <si>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</si>
  <si>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</si>
  <si>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</si>
  <si>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</si>
  <si>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</si>
  <si>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</si>
  <si>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</si>
  <si>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</si>
  <si>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</si>
  <si>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</si>
  <si>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</si>
  <si>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</si>
  <si>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</si>
  <si>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</si>
  <si>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</si>
  <si>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</si>
  <si>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</si>
  <si>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</si>
  <si>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</si>
  <si>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</si>
  <si>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</si>
  <si>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</si>
  <si>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</si>
  <si>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</si>
  <si>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</si>
  <si>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</si>
  <si>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</si>
  <si>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</si>
  <si>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</si>
  <si>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</si>
  <si>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</si>
  <si>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</si>
  <si>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</si>
  <si>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</si>
  <si>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</si>
  <si>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</si>
  <si>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</si>
  <si>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</si>
  <si>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</si>
  <si>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</si>
  <si>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</si>
  <si>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</si>
  <si>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</si>
  <si>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</si>
  <si>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</si>
  <si>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</si>
  <si>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</si>
  <si>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</si>
  <si>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</si>
  <si>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</si>
  <si>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</si>
  <si>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</si>
  <si>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</si>
  <si>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</si>
  <si>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</si>
  <si>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</si>
  <si>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</si>
  <si>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</si>
  <si>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</si>
  <si>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</si>
  <si>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</si>
  <si>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</si>
  <si>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</si>
  <si>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</si>
  <si>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</si>
  <si>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</si>
  <si>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</si>
  <si>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</si>
  <si>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</si>
  <si>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</si>
  <si>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</si>
  <si>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</si>
  <si>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</si>
  <si>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</si>
  <si>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</si>
  <si>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</si>
  <si>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</si>
  <si>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</si>
  <si>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</si>
  <si>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</si>
  <si>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</si>
  <si>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</si>
  <si>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</si>
  <si>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</si>
  <si>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</si>
  <si>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</si>
  <si>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</si>
  <si>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</si>
  <si>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</si>
  <si>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</si>
  <si>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</si>
  <si>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</si>
  <si>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</si>
  <si>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</si>
  <si>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</si>
  <si>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</si>
  <si>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</si>
  <si>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</si>
  <si>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>И.о. главы администрации</t>
  </si>
  <si>
    <t>Е.Л. Ягодкин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</si>
  <si>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</si>
  <si>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</si>
  <si>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 xml:space="preserve">  на 01 сентября 2018г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</si>
</sst>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5"/>
  <sheetViews>
    <sheetView tabSelected="1" zoomScalePageLayoutView="0" workbookViewId="0" topLeftCell="A1">
      <selection activeCell="G165" sqref="A1:G165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2" t="s">
        <v>29</v>
      </c>
      <c r="B1" s="32"/>
      <c r="C1" s="32"/>
      <c r="D1" s="32"/>
      <c r="E1" s="32"/>
      <c r="F1" s="32"/>
      <c r="G1" s="32"/>
    </row>
    <row r="2" spans="1:7" ht="12.75">
      <c r="A2" s="37" t="s">
        <v>79</v>
      </c>
      <c r="B2" s="37"/>
      <c r="C2" s="37"/>
      <c r="D2" s="37"/>
      <c r="E2" s="37"/>
      <c r="F2" s="37"/>
      <c r="G2" s="37"/>
    </row>
    <row r="3" spans="1:7" ht="12.75" customHeight="1">
      <c r="A3" s="32" t="s">
        <v>193</v>
      </c>
      <c r="B3" s="32"/>
      <c r="C3" s="32"/>
      <c r="D3" s="32"/>
      <c r="E3" s="32"/>
      <c r="F3" s="32"/>
      <c r="G3" s="32"/>
    </row>
    <row r="4" spans="1:7" ht="12.75">
      <c r="A4" s="33" t="s">
        <v>34</v>
      </c>
      <c r="B4" s="34"/>
      <c r="C4" s="35" t="s">
        <v>167</v>
      </c>
      <c r="D4" s="36"/>
      <c r="E4" s="36"/>
      <c r="F4" s="36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171</v>
      </c>
      <c r="F5" s="4" t="s">
        <v>78</v>
      </c>
      <c r="G5" s="4" t="s">
        <v>172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D7+D10+D13+D22+D35+D111+D114+D117+D120+D128+D132+D136+D140+D142+D147+D152+D157+D31</f>
        <v>69775050.7</v>
      </c>
      <c r="E6" s="13">
        <f>E7+E10+E13+E22+E35+E111+E114+E117+E128+E132+E136+E142+E147+E152+E157+E120</f>
        <v>0</v>
      </c>
      <c r="F6" s="20">
        <f>F7+F10+F13+F22+F35+F111+F114+F117+F120+F128+F132+F136+F140+F142+F147+F152+F157+F31</f>
        <v>18518614.439999998</v>
      </c>
      <c r="G6" s="13">
        <f>G7+G10+G13+G22+G35+G111+G114+G117+G128+G132+G136+G142+G147+G152+G157+G120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1176000</v>
      </c>
      <c r="E7" s="13">
        <f t="shared" si="0"/>
        <v>0</v>
      </c>
      <c r="F7" s="20">
        <f t="shared" si="0"/>
        <v>595425.49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1176000</v>
      </c>
      <c r="E8" s="7">
        <f t="shared" si="0"/>
        <v>0</v>
      </c>
      <c r="F8" s="19">
        <f>F9</f>
        <v>595425.49</v>
      </c>
      <c r="G8" s="7">
        <f t="shared" si="0"/>
        <v>0</v>
      </c>
      <c r="H8" s="25">
        <f>D8-F8</f>
        <v>580574.51</v>
      </c>
      <c r="I8" s="23"/>
    </row>
    <row r="9" spans="1:9" ht="15" customHeight="1">
      <c r="A9" s="5"/>
      <c r="B9" s="6" t="s">
        <v>81</v>
      </c>
      <c r="C9" s="6" t="s">
        <v>143</v>
      </c>
      <c r="D9" s="19">
        <v>1176000</v>
      </c>
      <c r="E9" s="7"/>
      <c r="F9" s="19">
        <f>192978+13088.5+52439.9+38052.79+39357.35+14763.5+33000+8897.86+27009.36+14841.96+32000+36417.88+11817.2+5000+11559.5+46201.69+18000</f>
        <v>595425.49</v>
      </c>
      <c r="G9" s="7"/>
      <c r="H9" s="25">
        <f aca="true" t="shared" si="1" ref="H9:H76">D9-F9</f>
        <v>580574.51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355000</v>
      </c>
      <c r="E10" s="13">
        <f t="shared" si="2"/>
        <v>0</v>
      </c>
      <c r="F10" s="20">
        <f t="shared" si="2"/>
        <v>198204.8</v>
      </c>
      <c r="G10" s="13">
        <f t="shared" si="2"/>
        <v>0</v>
      </c>
      <c r="H10" s="25">
        <f t="shared" si="1"/>
        <v>156795.2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355000</v>
      </c>
      <c r="E11" s="7">
        <f t="shared" si="2"/>
        <v>0</v>
      </c>
      <c r="F11" s="19">
        <f>F12</f>
        <v>198204.8</v>
      </c>
      <c r="G11" s="7">
        <f t="shared" si="2"/>
        <v>0</v>
      </c>
      <c r="H11" s="25">
        <f t="shared" si="1"/>
        <v>156795.2</v>
      </c>
      <c r="I11" s="23"/>
    </row>
    <row r="12" spans="1:9" ht="17.25" customHeight="1">
      <c r="A12" s="5"/>
      <c r="B12" s="6" t="s">
        <v>82</v>
      </c>
      <c r="C12" s="6" t="s">
        <v>144</v>
      </c>
      <c r="D12" s="7">
        <v>355000</v>
      </c>
      <c r="E12" s="7"/>
      <c r="F12" s="19">
        <f>62490.47+25225.57+4229.35+27645.58+28011.47+24230.99+21671.87+4699.5</f>
        <v>198204.8</v>
      </c>
      <c r="G12" s="7"/>
      <c r="H12" s="25">
        <f t="shared" si="1"/>
        <v>156795.2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2884200</v>
      </c>
      <c r="E13" s="10">
        <f>E14+E16+E18+E20</f>
        <v>0</v>
      </c>
      <c r="F13" s="21">
        <f>F14+F16+F18+F20</f>
        <v>1776170.47</v>
      </c>
      <c r="G13" s="10">
        <f>G14+G16+G18+G20</f>
        <v>0</v>
      </c>
      <c r="H13" s="25">
        <f t="shared" si="1"/>
        <v>1108029.53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83</v>
      </c>
      <c r="C15" s="6" t="s">
        <v>143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84</v>
      </c>
      <c r="C17" s="6" t="s">
        <v>143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2752000</v>
      </c>
      <c r="E18" s="7">
        <f>E19</f>
        <v>0</v>
      </c>
      <c r="F18" s="19">
        <f>F19</f>
        <v>1704223.05</v>
      </c>
      <c r="G18" s="7">
        <f>G19</f>
        <v>0</v>
      </c>
      <c r="H18" s="25">
        <f t="shared" si="1"/>
        <v>1047776.95</v>
      </c>
      <c r="I18" s="23"/>
      <c r="IV18">
        <f>SUM(A18:IU18)</f>
        <v>5504002.5</v>
      </c>
    </row>
    <row r="19" spans="1:9" ht="18" customHeight="1">
      <c r="A19" s="5"/>
      <c r="B19" s="6" t="s">
        <v>85</v>
      </c>
      <c r="C19" s="6" t="s">
        <v>143</v>
      </c>
      <c r="D19" s="19">
        <f>2646000+106000</f>
        <v>2752000</v>
      </c>
      <c r="E19" s="7"/>
      <c r="F19" s="19">
        <f>386179.12+118689.31+6789.99+14781.48+65309.01+76256.32+9735.75+6700+7300+35000+105353.95+4388.79+6314.03+20343.25+40000+16000+25000+37923.95+7590.79+23668.02+72778.07+60268+229432.74+38863.76+13378.5+28373.94+30000+25673.29+114011.46+13398.83+15351.7+49369</f>
        <v>1704223.05</v>
      </c>
      <c r="G19" s="7"/>
      <c r="H19" s="25">
        <f t="shared" si="1"/>
        <v>1047776.95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132200</v>
      </c>
      <c r="E20" s="7">
        <f>E21</f>
        <v>0</v>
      </c>
      <c r="F20" s="19">
        <f>F21</f>
        <v>71947.42</v>
      </c>
      <c r="G20" s="7">
        <f>G21</f>
        <v>0</v>
      </c>
      <c r="H20" s="25">
        <f t="shared" si="1"/>
        <v>60252.58</v>
      </c>
      <c r="I20" s="23"/>
    </row>
    <row r="21" spans="1:9" ht="18.75" customHeight="1">
      <c r="A21" s="5"/>
      <c r="B21" s="6" t="s">
        <v>86</v>
      </c>
      <c r="C21" s="6" t="s">
        <v>143</v>
      </c>
      <c r="D21" s="7">
        <f>129000+3200</f>
        <v>132200</v>
      </c>
      <c r="E21" s="7"/>
      <c r="F21" s="19">
        <f>31517.4+5000+8501.7+2041+5000+2128+9078.99+565.04+3023+92.29+5000</f>
        <v>71947.42</v>
      </c>
      <c r="G21" s="7"/>
      <c r="H21" s="25">
        <f t="shared" si="1"/>
        <v>60252.58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871000</v>
      </c>
      <c r="E22" s="13">
        <f>E23+E25+E27+E29</f>
        <v>0</v>
      </c>
      <c r="F22" s="20">
        <f>F23+F25+F27+F29</f>
        <v>517244.44</v>
      </c>
      <c r="G22" s="13">
        <f>G23+G25+G27+G29</f>
        <v>0</v>
      </c>
      <c r="H22" s="25">
        <f t="shared" si="1"/>
        <v>353755.56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87</v>
      </c>
      <c r="C24" s="6" t="s">
        <v>144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88</v>
      </c>
      <c r="C26" s="6" t="s">
        <v>144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19">
        <f>D28</f>
        <v>831000</v>
      </c>
      <c r="E27" s="7">
        <f>E28</f>
        <v>0</v>
      </c>
      <c r="F27" s="19">
        <f>F28</f>
        <v>491053.79</v>
      </c>
      <c r="G27" s="7">
        <f>G28</f>
        <v>0</v>
      </c>
      <c r="H27" s="25">
        <f t="shared" si="1"/>
        <v>339946.21</v>
      </c>
      <c r="I27" s="23"/>
    </row>
    <row r="28" spans="1:9" ht="18" customHeight="1">
      <c r="A28" s="5"/>
      <c r="B28" s="6" t="s">
        <v>89</v>
      </c>
      <c r="C28" s="6" t="s">
        <v>144</v>
      </c>
      <c r="D28" s="19">
        <f>799000+32000</f>
        <v>831000</v>
      </c>
      <c r="E28" s="7"/>
      <c r="F28" s="19">
        <f>110712.41+30863.8+15431.9+45616.69+2969.2+14406.24+45035.82+17530.02+53744.12+3082.8+2469.1+85074.97+58232.88+5883.84</f>
        <v>491053.79</v>
      </c>
      <c r="G28" s="7"/>
      <c r="H28" s="25">
        <f t="shared" si="1"/>
        <v>339946.21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40000</v>
      </c>
      <c r="E29" s="7">
        <f>E30</f>
        <v>0</v>
      </c>
      <c r="F29" s="19">
        <f>F30</f>
        <v>26190.649999999998</v>
      </c>
      <c r="G29" s="7">
        <f>G30</f>
        <v>0</v>
      </c>
      <c r="H29" s="25">
        <f t="shared" si="1"/>
        <v>13809.350000000002</v>
      </c>
      <c r="I29" s="23"/>
    </row>
    <row r="30" spans="1:9" ht="18.75" customHeight="1">
      <c r="A30" s="5"/>
      <c r="B30" s="6" t="s">
        <v>90</v>
      </c>
      <c r="C30" s="6" t="s">
        <v>144</v>
      </c>
      <c r="D30" s="7">
        <f>39000+1000</f>
        <v>40000</v>
      </c>
      <c r="E30" s="7"/>
      <c r="F30" s="19">
        <f>9482.6+4741.33+4943.94+7022.78</f>
        <v>26190.649999999998</v>
      </c>
      <c r="G30" s="7"/>
      <c r="H30" s="25">
        <f t="shared" si="1"/>
        <v>13809.350000000002</v>
      </c>
      <c r="I30" s="23"/>
    </row>
    <row r="31" spans="1:9" ht="51.75" customHeight="1">
      <c r="A31" s="5"/>
      <c r="B31" s="31" t="s">
        <v>191</v>
      </c>
      <c r="C31" s="31" t="s">
        <v>192</v>
      </c>
      <c r="D31" s="13">
        <f>D32</f>
        <v>0</v>
      </c>
      <c r="E31" s="13">
        <f>E32+E37+E47+E55+E58+E63+E66+E70+E74+E81+E84+E89+E93+E102</f>
        <v>0</v>
      </c>
      <c r="F31" s="20">
        <f>F32</f>
        <v>0</v>
      </c>
      <c r="G31" s="13">
        <f>G32+G37+G47+G55+G58+G63+G66+G70+G74+G81+G84+G89+G93+G102</f>
        <v>0</v>
      </c>
      <c r="H31" s="25">
        <f t="shared" si="1"/>
        <v>0</v>
      </c>
      <c r="I31" s="23"/>
    </row>
    <row r="32" spans="1:9" ht="18.75" customHeight="1">
      <c r="A32" s="8"/>
      <c r="B32" s="9" t="s">
        <v>27</v>
      </c>
      <c r="C32" s="9" t="s">
        <v>43</v>
      </c>
      <c r="D32" s="21">
        <f>D33</f>
        <v>0</v>
      </c>
      <c r="E32" s="10">
        <f>E33+E35+E36+E37+E39+E40</f>
        <v>0</v>
      </c>
      <c r="F32" s="21">
        <f>F33</f>
        <v>0</v>
      </c>
      <c r="G32" s="10">
        <f>G33+G35+G36+G37+G39+G40</f>
        <v>0</v>
      </c>
      <c r="H32" s="25">
        <f t="shared" si="1"/>
        <v>0</v>
      </c>
      <c r="I32" s="23"/>
    </row>
    <row r="33" spans="1:9" ht="18.75" customHeight="1">
      <c r="A33" s="5"/>
      <c r="B33" s="6" t="s">
        <v>120</v>
      </c>
      <c r="C33" s="6" t="s">
        <v>148</v>
      </c>
      <c r="D33" s="19">
        <f>10000000+1400000-11400000</f>
        <v>0</v>
      </c>
      <c r="E33" s="7"/>
      <c r="F33" s="19"/>
      <c r="G33" s="7"/>
      <c r="H33" s="25">
        <f t="shared" si="1"/>
        <v>0</v>
      </c>
      <c r="I33" s="23"/>
    </row>
    <row r="34" spans="1:9" ht="18.75" customHeight="1">
      <c r="A34" s="5"/>
      <c r="B34" s="6"/>
      <c r="C34" s="6"/>
      <c r="D34" s="7"/>
      <c r="E34" s="7"/>
      <c r="F34" s="19"/>
      <c r="G34" s="7"/>
      <c r="H34" s="25">
        <f t="shared" si="1"/>
        <v>0</v>
      </c>
      <c r="I34" s="23"/>
    </row>
    <row r="35" spans="1:9" ht="40.5" customHeight="1">
      <c r="A35" s="5"/>
      <c r="B35" s="11" t="s">
        <v>52</v>
      </c>
      <c r="C35" s="11" t="s">
        <v>66</v>
      </c>
      <c r="D35" s="13">
        <f>D36+D41+D51+D59+D62+D67+D70+D74+D78+D85+D88+D93+D97+D106</f>
        <v>42694550.7</v>
      </c>
      <c r="E35" s="13">
        <f>E36+E41+E51+E59+E62+E67+E70+E74+E78+E85+E88+E93+E97+E106</f>
        <v>0</v>
      </c>
      <c r="F35" s="20">
        <f>F36+F41+F51+F59+F62+F67+F70+F74+F78+F85+F88+F93+F97+F106</f>
        <v>15013673.77</v>
      </c>
      <c r="G35" s="13">
        <f>G36+G41+G51+G59+G62+G67+G70+G74+G78+G85+G88+G93+G97+G106</f>
        <v>0</v>
      </c>
      <c r="H35" s="25">
        <f t="shared" si="1"/>
        <v>27680876.930000003</v>
      </c>
      <c r="I35" s="23"/>
    </row>
    <row r="36" spans="1:9" s="3" customFormat="1" ht="25.5" customHeight="1">
      <c r="A36" s="8">
        <v>2.4</v>
      </c>
      <c r="B36" s="9" t="s">
        <v>176</v>
      </c>
      <c r="C36" s="27" t="s">
        <v>181</v>
      </c>
      <c r="D36" s="10">
        <f>D37+D38+D39+D40</f>
        <v>0</v>
      </c>
      <c r="E36" s="10">
        <f>E37+E38+E39+E40</f>
        <v>0</v>
      </c>
      <c r="F36" s="21">
        <f>F37+F38+F39+F40</f>
        <v>0</v>
      </c>
      <c r="G36" s="10">
        <f>G37+G38+G39+G40</f>
        <v>0</v>
      </c>
      <c r="H36" s="25">
        <f t="shared" si="1"/>
        <v>0</v>
      </c>
      <c r="I36" s="23"/>
    </row>
    <row r="37" spans="1:9" ht="18.75" customHeight="1">
      <c r="A37" s="5"/>
      <c r="B37" s="6" t="s">
        <v>177</v>
      </c>
      <c r="C37" s="6" t="s">
        <v>145</v>
      </c>
      <c r="D37" s="7"/>
      <c r="E37" s="7"/>
      <c r="F37" s="19"/>
      <c r="G37" s="7"/>
      <c r="H37" s="25">
        <f t="shared" si="1"/>
        <v>0</v>
      </c>
      <c r="I37" s="23"/>
    </row>
    <row r="38" spans="1:9" ht="18.75" customHeight="1">
      <c r="A38" s="5"/>
      <c r="B38" s="6" t="s">
        <v>178</v>
      </c>
      <c r="C38" s="6" t="s">
        <v>146</v>
      </c>
      <c r="D38" s="7"/>
      <c r="E38" s="7"/>
      <c r="F38" s="19"/>
      <c r="G38" s="7"/>
      <c r="H38" s="25">
        <f t="shared" si="1"/>
        <v>0</v>
      </c>
      <c r="I38" s="23"/>
    </row>
    <row r="39" spans="1:9" ht="17.25" customHeight="1">
      <c r="A39" s="5"/>
      <c r="B39" s="6" t="s">
        <v>179</v>
      </c>
      <c r="C39" s="6" t="s">
        <v>147</v>
      </c>
      <c r="D39" s="19"/>
      <c r="E39" s="7"/>
      <c r="F39" s="19"/>
      <c r="G39" s="7"/>
      <c r="H39" s="25">
        <f t="shared" si="1"/>
        <v>0</v>
      </c>
      <c r="I39" s="23"/>
    </row>
    <row r="40" spans="1:9" ht="18.75" customHeight="1">
      <c r="A40" s="5"/>
      <c r="B40" s="6" t="s">
        <v>180</v>
      </c>
      <c r="C40" s="6" t="s">
        <v>148</v>
      </c>
      <c r="D40" s="7"/>
      <c r="E40" s="7"/>
      <c r="F40" s="19"/>
      <c r="G40" s="7"/>
      <c r="H40" s="25">
        <f t="shared" si="1"/>
        <v>0</v>
      </c>
      <c r="I40" s="23"/>
    </row>
    <row r="41" spans="1:9" s="3" customFormat="1" ht="73.5" customHeight="1">
      <c r="A41" s="8">
        <v>2.5</v>
      </c>
      <c r="B41" s="9" t="s">
        <v>22</v>
      </c>
      <c r="C41" s="9" t="s">
        <v>10</v>
      </c>
      <c r="D41" s="10">
        <f>D42+D43+D44+D45+D46+D47+D49+D50+D48</f>
        <v>2343000</v>
      </c>
      <c r="E41" s="10">
        <f>E42+E43+E44+E45+E46+E47+E49+E50</f>
        <v>0</v>
      </c>
      <c r="F41" s="21">
        <f>F42+F43+F44+F45+F46+F47+F49+F50+F48</f>
        <v>1955919.8799999994</v>
      </c>
      <c r="G41" s="10">
        <f>G42+G43+G44+G45+G46+G47+G49+G50</f>
        <v>0</v>
      </c>
      <c r="H41" s="25">
        <f t="shared" si="1"/>
        <v>387080.1200000006</v>
      </c>
      <c r="I41" s="23"/>
    </row>
    <row r="42" spans="1:9" ht="18" customHeight="1">
      <c r="A42" s="5"/>
      <c r="B42" s="6" t="s">
        <v>91</v>
      </c>
      <c r="C42" s="6" t="s">
        <v>145</v>
      </c>
      <c r="D42" s="19">
        <v>158000</v>
      </c>
      <c r="E42" s="7"/>
      <c r="F42" s="19">
        <f>348.58+10298.66+10922.48+63.27+12514.18+80.29+11015.07+36.1+11396.59+13494.5+13.38+198.32+14043.11+13127.56+212.33</f>
        <v>97764.42000000001</v>
      </c>
      <c r="G42" s="7"/>
      <c r="H42" s="25">
        <f t="shared" si="1"/>
        <v>60235.57999999999</v>
      </c>
      <c r="I42" s="23"/>
    </row>
    <row r="43" spans="1:9" ht="14.25" customHeight="1">
      <c r="A43" s="5"/>
      <c r="B43" s="6" t="s">
        <v>92</v>
      </c>
      <c r="C43" s="6" t="s">
        <v>146</v>
      </c>
      <c r="D43" s="19">
        <f>1000</f>
        <v>1000</v>
      </c>
      <c r="E43" s="7"/>
      <c r="F43" s="19">
        <f>868</f>
        <v>868</v>
      </c>
      <c r="G43" s="7"/>
      <c r="H43" s="25">
        <f t="shared" si="1"/>
        <v>132</v>
      </c>
      <c r="I43" s="23"/>
    </row>
    <row r="44" spans="1:9" ht="17.25" customHeight="1">
      <c r="A44" s="5"/>
      <c r="B44" s="6" t="s">
        <v>93</v>
      </c>
      <c r="C44" s="6" t="s">
        <v>147</v>
      </c>
      <c r="D44" s="19">
        <f>587000-30000</f>
        <v>557000</v>
      </c>
      <c r="E44" s="7"/>
      <c r="F44" s="19">
        <f>10000+22159.76+51.96+121.5+23687.44+19.44+324.72+16358.68+1089.27+5000+4578.61+10000+108+51.96+288.64+19.44+27196.07+16358.68+22159.76+10000+2809.05+10000+162+51.96+16358.68+432.96+19.44+22159.76+27196.07+216.14+8416.49+10000-1354+10000+27196.07+162+51.96+19.44+432.96+22159.76+1026.64+10000+23569.93+19205.13+418.5+51.96+252.56+19.44+94.5+10000+16358.68+14178.15+4838.76+10000+94.5+51.96+19.44+252.56-0.01+10000+81+19.44+1129.04+216.48+51.96+20.22+53.83+70.2+186.9+5000</f>
        <v>453326.4400000001</v>
      </c>
      <c r="G44" s="7"/>
      <c r="H44" s="25">
        <f t="shared" si="1"/>
        <v>103673.55999999988</v>
      </c>
      <c r="I44" s="23"/>
    </row>
    <row r="45" spans="1:9" ht="17.25" customHeight="1">
      <c r="A45" s="5"/>
      <c r="B45" s="6" t="s">
        <v>124</v>
      </c>
      <c r="C45" s="6" t="s">
        <v>149</v>
      </c>
      <c r="D45" s="19"/>
      <c r="E45" s="7"/>
      <c r="F45" s="19"/>
      <c r="G45" s="7"/>
      <c r="H45" s="25">
        <f t="shared" si="1"/>
        <v>0</v>
      </c>
      <c r="I45" s="23"/>
    </row>
    <row r="46" spans="1:9" ht="16.5" customHeight="1">
      <c r="A46" s="5"/>
      <c r="B46" s="6" t="s">
        <v>94</v>
      </c>
      <c r="C46" s="6" t="s">
        <v>148</v>
      </c>
      <c r="D46" s="19">
        <f>677000+60000+28000+50000</f>
        <v>815000</v>
      </c>
      <c r="E46" s="7"/>
      <c r="F46" s="19">
        <f>97865.36+2877.32+2607.71+143.11+1149.51+1112+500+1599+97913.99+94450.6+143.11+10005+2607.71+280374.9+2877.32+2979.9+6000+3110+2607.71+2877.32+388.44+7946.9+2979.9+6000+2877.32+2607.71+388.44+6241+2978.89+1944+5700+1149.51+2607.71+2877.32+153.33+72856+2557+2979.91+6000+2607.71+2877.32+153.33+3350+6240+13004+2979.89+153.33+2607.71+2877.32+2978.9+6001+197.33+2607.71+1164.3+2877.32+1000</f>
        <v>798712.1199999994</v>
      </c>
      <c r="G46" s="7"/>
      <c r="H46" s="25">
        <f t="shared" si="1"/>
        <v>16287.880000000587</v>
      </c>
      <c r="I46" s="23"/>
    </row>
    <row r="47" spans="1:9" ht="16.5" customHeight="1">
      <c r="A47" s="5"/>
      <c r="B47" s="6" t="s">
        <v>95</v>
      </c>
      <c r="C47" s="6" t="s">
        <v>150</v>
      </c>
      <c r="D47" s="19">
        <f>231000-1000-40000+30000</f>
        <v>220000</v>
      </c>
      <c r="E47" s="7"/>
      <c r="F47" s="19">
        <f>6562+6758.39+2979.89+6000+5000+6758.39+2565+1665+25000+2482.59+2482.59+6758.39+5006+3050+864+765+3341.25+5000+2482.59+5404+8398+3000+4444.68+6758.39+600+4275.9+8610+3150+326.88+1100+6758.39+75.5+375+1450+400+2000+6457+102+2000+6758.39+5400+1000+830.64+1500+6456.98+13004+1100+4536+6758.39+6000+175+1845</f>
        <v>216571.22000000006</v>
      </c>
      <c r="G47" s="7"/>
      <c r="H47" s="25">
        <f t="shared" si="1"/>
        <v>3428.7799999999406</v>
      </c>
      <c r="I47" s="23"/>
    </row>
    <row r="48" spans="1:9" ht="16.5" customHeight="1">
      <c r="A48" s="5"/>
      <c r="B48" s="6" t="s">
        <v>140</v>
      </c>
      <c r="C48" s="6" t="s">
        <v>153</v>
      </c>
      <c r="D48" s="19">
        <f>1000+11000-2000</f>
        <v>10000</v>
      </c>
      <c r="E48" s="7"/>
      <c r="F48" s="19">
        <f>315</f>
        <v>315</v>
      </c>
      <c r="G48" s="7"/>
      <c r="H48" s="25">
        <f t="shared" si="1"/>
        <v>9685</v>
      </c>
      <c r="I48" s="23"/>
    </row>
    <row r="49" spans="1:9" ht="16.5" customHeight="1">
      <c r="A49" s="5"/>
      <c r="B49" s="6" t="s">
        <v>125</v>
      </c>
      <c r="C49" s="6" t="s">
        <v>151</v>
      </c>
      <c r="D49" s="30">
        <v>100000</v>
      </c>
      <c r="E49" s="7"/>
      <c r="F49" s="19">
        <f>37210+3370+22600</f>
        <v>63180</v>
      </c>
      <c r="G49" s="7"/>
      <c r="H49" s="25">
        <f t="shared" si="1"/>
        <v>36820</v>
      </c>
      <c r="I49" s="23"/>
    </row>
    <row r="50" spans="1:9" ht="16.5" customHeight="1">
      <c r="A50" s="5"/>
      <c r="B50" s="6" t="s">
        <v>126</v>
      </c>
      <c r="C50" s="6" t="s">
        <v>152</v>
      </c>
      <c r="D50" s="19">
        <f>542000-60000</f>
        <v>482000</v>
      </c>
      <c r="E50" s="7"/>
      <c r="F50" s="19">
        <f>9650+3356.5+7430+5100.64+38100+2566+814.74+5570.74+3528+40+3910+8927+1382+4704+4617.45+1640+6000+7004+529+939.56+1039+2937+2860.09+1095+9655+885+6625+4476.05+1427+1050+6001+7300+240+9900+2701+1040+5870+11239+200+9670.72+8487.68+2540+563+2682.29+1854+1592-3370+240+6999.8+5333.57+3798+5888.16+960+4988+585+580+5824.52+1660+340+5106.4+4033+4970+1760+7260+924+2152+1280+9418.39+1114.02+3426+7498.72+14043.26+280+100+5250.18+3000.2</f>
        <v>325182.68</v>
      </c>
      <c r="G50" s="7"/>
      <c r="H50" s="25">
        <f t="shared" si="1"/>
        <v>156817.32</v>
      </c>
      <c r="I50" s="23"/>
    </row>
    <row r="51" spans="1:9" s="3" customFormat="1" ht="26.25" customHeight="1">
      <c r="A51" s="8">
        <v>2.16</v>
      </c>
      <c r="B51" s="9" t="s">
        <v>3</v>
      </c>
      <c r="C51" s="9" t="s">
        <v>18</v>
      </c>
      <c r="D51" s="10">
        <f>D52+D53+D54+D55+D56+D57+D58</f>
        <v>16100</v>
      </c>
      <c r="E51" s="10">
        <f>E52+E53+E54+E55+E56+E57+E58</f>
        <v>0</v>
      </c>
      <c r="F51" s="21">
        <f>F52+F53+F54+F55+F56+F57+F58</f>
        <v>9000</v>
      </c>
      <c r="G51" s="10">
        <f>G52+G53+G54+G55+G56+G57+G58</f>
        <v>0</v>
      </c>
      <c r="H51" s="25">
        <f t="shared" si="1"/>
        <v>7100</v>
      </c>
      <c r="I51" s="23"/>
    </row>
    <row r="52" spans="1:9" ht="18.75" customHeight="1">
      <c r="A52" s="5"/>
      <c r="B52" s="6" t="s">
        <v>98</v>
      </c>
      <c r="C52" s="6" t="s">
        <v>145</v>
      </c>
      <c r="D52" s="7">
        <v>4000</v>
      </c>
      <c r="E52" s="7"/>
      <c r="F52" s="19">
        <f>4000</f>
        <v>4000</v>
      </c>
      <c r="G52" s="7"/>
      <c r="H52" s="25">
        <f t="shared" si="1"/>
        <v>0</v>
      </c>
      <c r="I52" s="23"/>
    </row>
    <row r="53" spans="1:9" ht="17.25" customHeight="1">
      <c r="A53" s="5"/>
      <c r="B53" s="6" t="s">
        <v>99</v>
      </c>
      <c r="C53" s="6" t="s">
        <v>146</v>
      </c>
      <c r="D53" s="7"/>
      <c r="E53" s="7"/>
      <c r="F53" s="19"/>
      <c r="G53" s="7"/>
      <c r="H53" s="25">
        <f t="shared" si="1"/>
        <v>0</v>
      </c>
      <c r="I53" s="23"/>
    </row>
    <row r="54" spans="1:9" ht="16.5" customHeight="1">
      <c r="A54" s="5"/>
      <c r="B54" s="6" t="s">
        <v>100</v>
      </c>
      <c r="C54" s="6" t="s">
        <v>147</v>
      </c>
      <c r="D54" s="7"/>
      <c r="E54" s="7"/>
      <c r="F54" s="19"/>
      <c r="G54" s="7"/>
      <c r="H54" s="25">
        <f t="shared" si="1"/>
        <v>0</v>
      </c>
      <c r="I54" s="23"/>
    </row>
    <row r="55" spans="1:9" ht="17.25" customHeight="1">
      <c r="A55" s="5"/>
      <c r="B55" s="6" t="s">
        <v>101</v>
      </c>
      <c r="C55" s="6" t="s">
        <v>149</v>
      </c>
      <c r="D55" s="7"/>
      <c r="E55" s="7"/>
      <c r="F55" s="19"/>
      <c r="G55" s="7"/>
      <c r="H55" s="25">
        <f t="shared" si="1"/>
        <v>0</v>
      </c>
      <c r="I55" s="23"/>
    </row>
    <row r="56" spans="1:9" ht="17.25" customHeight="1">
      <c r="A56" s="5"/>
      <c r="B56" s="6" t="s">
        <v>127</v>
      </c>
      <c r="C56" s="6" t="s">
        <v>148</v>
      </c>
      <c r="D56" s="7"/>
      <c r="E56" s="7"/>
      <c r="F56" s="19"/>
      <c r="G56" s="7"/>
      <c r="H56" s="25">
        <f t="shared" si="1"/>
        <v>0</v>
      </c>
      <c r="I56" s="23"/>
    </row>
    <row r="57" spans="1:9" ht="17.25" customHeight="1">
      <c r="A57" s="5"/>
      <c r="B57" s="6" t="s">
        <v>128</v>
      </c>
      <c r="C57" s="6" t="s">
        <v>151</v>
      </c>
      <c r="D57" s="7"/>
      <c r="E57" s="7"/>
      <c r="F57" s="19"/>
      <c r="G57" s="7"/>
      <c r="H57" s="25">
        <f t="shared" si="1"/>
        <v>0</v>
      </c>
      <c r="I57" s="23"/>
    </row>
    <row r="58" spans="1:9" ht="17.25" customHeight="1">
      <c r="A58" s="5"/>
      <c r="B58" s="6" t="s">
        <v>129</v>
      </c>
      <c r="C58" s="6" t="s">
        <v>152</v>
      </c>
      <c r="D58" s="7">
        <v>12100</v>
      </c>
      <c r="E58" s="7"/>
      <c r="F58" s="19">
        <f>5000</f>
        <v>5000</v>
      </c>
      <c r="G58" s="7"/>
      <c r="H58" s="25">
        <f t="shared" si="1"/>
        <v>7100</v>
      </c>
      <c r="I58" s="23"/>
    </row>
    <row r="59" spans="1:9" s="3" customFormat="1" ht="48.75" customHeight="1">
      <c r="A59" s="8">
        <v>2.31</v>
      </c>
      <c r="B59" s="9" t="s">
        <v>44</v>
      </c>
      <c r="C59" s="9" t="s">
        <v>1</v>
      </c>
      <c r="D59" s="10">
        <f>D60+D61</f>
        <v>50000</v>
      </c>
      <c r="E59" s="10">
        <f>E60+E61</f>
        <v>0</v>
      </c>
      <c r="F59" s="21">
        <f>F60+F61</f>
        <v>0</v>
      </c>
      <c r="G59" s="10">
        <f>G60+G61</f>
        <v>0</v>
      </c>
      <c r="H59" s="25">
        <f t="shared" si="1"/>
        <v>50000</v>
      </c>
      <c r="I59" s="23"/>
    </row>
    <row r="60" spans="1:9" ht="16.5" customHeight="1">
      <c r="A60" s="5"/>
      <c r="B60" s="6" t="s">
        <v>96</v>
      </c>
      <c r="C60" s="6" t="s">
        <v>148</v>
      </c>
      <c r="D60" s="7">
        <v>50000</v>
      </c>
      <c r="E60" s="7"/>
      <c r="F60" s="19"/>
      <c r="G60" s="7"/>
      <c r="H60" s="25">
        <f t="shared" si="1"/>
        <v>50000</v>
      </c>
      <c r="I60" s="23"/>
    </row>
    <row r="61" spans="1:9" ht="17.25" customHeight="1">
      <c r="A61" s="5"/>
      <c r="B61" s="6" t="s">
        <v>97</v>
      </c>
      <c r="C61" s="6" t="s">
        <v>150</v>
      </c>
      <c r="D61" s="7"/>
      <c r="E61" s="7"/>
      <c r="F61" s="19"/>
      <c r="G61" s="7"/>
      <c r="H61" s="25">
        <f t="shared" si="1"/>
        <v>0</v>
      </c>
      <c r="I61" s="23"/>
    </row>
    <row r="62" spans="1:9" s="3" customFormat="1" ht="25.5" customHeight="1">
      <c r="A62" s="8">
        <v>2.44</v>
      </c>
      <c r="B62" s="9" t="s">
        <v>19</v>
      </c>
      <c r="C62" s="9" t="s">
        <v>28</v>
      </c>
      <c r="D62" s="10">
        <f>D63+D64+D66+D65</f>
        <v>7815804</v>
      </c>
      <c r="E62" s="10">
        <f>E64+E65</f>
        <v>0</v>
      </c>
      <c r="F62" s="21">
        <f>F63+F64+F65+F66</f>
        <v>5197386.24</v>
      </c>
      <c r="G62" s="10">
        <f>G64+G65</f>
        <v>0</v>
      </c>
      <c r="H62" s="25">
        <f t="shared" si="1"/>
        <v>2618417.76</v>
      </c>
      <c r="I62" s="23"/>
    </row>
    <row r="63" spans="1:9" s="3" customFormat="1" ht="20.25" customHeight="1">
      <c r="A63" s="8"/>
      <c r="B63" s="6" t="s">
        <v>174</v>
      </c>
      <c r="C63" s="6" t="s">
        <v>146</v>
      </c>
      <c r="D63" s="26"/>
      <c r="E63" s="10"/>
      <c r="F63" s="28"/>
      <c r="G63" s="10"/>
      <c r="H63" s="25">
        <f t="shared" si="1"/>
        <v>0</v>
      </c>
      <c r="I63" s="23"/>
    </row>
    <row r="64" spans="1:9" ht="18" customHeight="1">
      <c r="A64" s="5"/>
      <c r="B64" s="6" t="s">
        <v>102</v>
      </c>
      <c r="C64" s="6" t="s">
        <v>148</v>
      </c>
      <c r="D64" s="7">
        <f>1314000+170000+4799500-700000-778000+24000+1629044+849264-849264+817260</f>
        <v>7275804</v>
      </c>
      <c r="E64" s="7"/>
      <c r="F64" s="19">
        <f>4539.24+4463500+199993</f>
        <v>4668032.24</v>
      </c>
      <c r="G64" s="7"/>
      <c r="H64" s="25">
        <f t="shared" si="1"/>
        <v>2607771.76</v>
      </c>
      <c r="I64" s="23"/>
    </row>
    <row r="65" spans="1:9" ht="17.25" customHeight="1">
      <c r="A65" s="5"/>
      <c r="B65" s="6" t="s">
        <v>103</v>
      </c>
      <c r="C65" s="6" t="s">
        <v>150</v>
      </c>
      <c r="D65" s="30">
        <f>600000+1600000-2170000</f>
        <v>30000</v>
      </c>
      <c r="E65" s="7"/>
      <c r="F65" s="19">
        <f>22354</f>
        <v>22354</v>
      </c>
      <c r="G65" s="7"/>
      <c r="H65" s="25">
        <f t="shared" si="1"/>
        <v>7646</v>
      </c>
      <c r="I65" s="23"/>
    </row>
    <row r="66" spans="1:9" ht="17.25" customHeight="1">
      <c r="A66" s="5"/>
      <c r="B66" s="6" t="s">
        <v>168</v>
      </c>
      <c r="C66" s="6" t="s">
        <v>152</v>
      </c>
      <c r="D66" s="19">
        <f>30000+480000</f>
        <v>510000</v>
      </c>
      <c r="E66" s="7"/>
      <c r="F66" s="19">
        <f>507000</f>
        <v>507000</v>
      </c>
      <c r="G66" s="7"/>
      <c r="H66" s="25">
        <f t="shared" si="1"/>
        <v>3000</v>
      </c>
      <c r="I66" s="23"/>
    </row>
    <row r="67" spans="1:9" s="3" customFormat="1" ht="25.5" customHeight="1">
      <c r="A67" s="8">
        <v>2.47</v>
      </c>
      <c r="B67" s="9" t="s">
        <v>11</v>
      </c>
      <c r="C67" s="9" t="s">
        <v>35</v>
      </c>
      <c r="D67" s="10">
        <f>D68+D69</f>
        <v>238146.7</v>
      </c>
      <c r="E67" s="10">
        <f>E68</f>
        <v>0</v>
      </c>
      <c r="F67" s="21">
        <f>F69+F68</f>
        <v>238080.8</v>
      </c>
      <c r="G67" s="10">
        <f>G68</f>
        <v>0</v>
      </c>
      <c r="H67" s="25">
        <f t="shared" si="1"/>
        <v>65.90000000002328</v>
      </c>
      <c r="I67" s="23"/>
    </row>
    <row r="68" spans="1:11" ht="19.5" customHeight="1">
      <c r="A68" s="5"/>
      <c r="B68" s="6" t="s">
        <v>173</v>
      </c>
      <c r="C68" s="6" t="s">
        <v>148</v>
      </c>
      <c r="D68" s="19">
        <f>10800+2246.7+100</f>
        <v>13146.7</v>
      </c>
      <c r="E68" s="7"/>
      <c r="F68" s="19">
        <f>3034.1+1306+8740.7</f>
        <v>13080.800000000001</v>
      </c>
      <c r="G68" s="7"/>
      <c r="H68" s="25">
        <f t="shared" si="1"/>
        <v>65.89999999999964</v>
      </c>
      <c r="I68" s="23"/>
      <c r="J68">
        <v>3576800</v>
      </c>
      <c r="K68" s="23">
        <f>F68</f>
        <v>13080.800000000001</v>
      </c>
    </row>
    <row r="69" spans="1:9" ht="19.5" customHeight="1">
      <c r="A69" s="5"/>
      <c r="B69" s="6" t="s">
        <v>175</v>
      </c>
      <c r="C69" s="6" t="s">
        <v>150</v>
      </c>
      <c r="D69" s="19">
        <f>77000+10000+66000+20000+15000+27000+10000</f>
        <v>225000</v>
      </c>
      <c r="E69" s="7"/>
      <c r="F69" s="19">
        <f>12000+60000+15000+66000+20000+10000+5000+8500+8500+10000+10000</f>
        <v>225000</v>
      </c>
      <c r="G69" s="7"/>
      <c r="H69" s="25">
        <f t="shared" si="1"/>
        <v>0</v>
      </c>
      <c r="I69" s="23"/>
    </row>
    <row r="70" spans="1:9" s="3" customFormat="1" ht="25.5" customHeight="1">
      <c r="A70" s="8">
        <v>2.48</v>
      </c>
      <c r="B70" s="9" t="s">
        <v>4</v>
      </c>
      <c r="C70" s="9" t="s">
        <v>16</v>
      </c>
      <c r="D70" s="10">
        <f>D71+D72+D73</f>
        <v>227000</v>
      </c>
      <c r="E70" s="10">
        <f>E71+E72+E73</f>
        <v>0</v>
      </c>
      <c r="F70" s="21">
        <f>F71+F72+F73</f>
        <v>84315</v>
      </c>
      <c r="G70" s="10">
        <f>G71+G72+G73</f>
        <v>0</v>
      </c>
      <c r="H70" s="25">
        <f t="shared" si="1"/>
        <v>142685</v>
      </c>
      <c r="I70" s="23"/>
    </row>
    <row r="71" spans="1:9" ht="17.25" customHeight="1">
      <c r="A71" s="5"/>
      <c r="B71" s="6" t="s">
        <v>104</v>
      </c>
      <c r="C71" s="6" t="s">
        <v>148</v>
      </c>
      <c r="D71" s="7">
        <v>50000</v>
      </c>
      <c r="E71" s="7"/>
      <c r="F71" s="19"/>
      <c r="G71" s="7"/>
      <c r="H71" s="25">
        <f t="shared" si="1"/>
        <v>50000</v>
      </c>
      <c r="I71" s="23"/>
    </row>
    <row r="72" spans="1:11" ht="17.25" customHeight="1">
      <c r="A72" s="5"/>
      <c r="B72" s="6" t="s">
        <v>105</v>
      </c>
      <c r="C72" s="6" t="s">
        <v>150</v>
      </c>
      <c r="D72" s="7">
        <f>50000-15000</f>
        <v>35000</v>
      </c>
      <c r="E72" s="7"/>
      <c r="F72" s="19"/>
      <c r="G72" s="7"/>
      <c r="H72" s="25">
        <f t="shared" si="1"/>
        <v>35000</v>
      </c>
      <c r="I72" s="23"/>
      <c r="K72" s="23"/>
    </row>
    <row r="73" spans="1:9" ht="18" customHeight="1">
      <c r="A73" s="5"/>
      <c r="B73" s="6" t="s">
        <v>130</v>
      </c>
      <c r="C73" s="6" t="s">
        <v>153</v>
      </c>
      <c r="D73" s="7">
        <f>152000-10000</f>
        <v>142000</v>
      </c>
      <c r="E73" s="7"/>
      <c r="F73" s="19">
        <f>12045+12045+12045+12045+12045+12045+12045</f>
        <v>84315</v>
      </c>
      <c r="G73" s="7"/>
      <c r="H73" s="25">
        <f t="shared" si="1"/>
        <v>57685</v>
      </c>
      <c r="I73" s="23"/>
    </row>
    <row r="74" spans="1:9" s="3" customFormat="1" ht="25.5" customHeight="1">
      <c r="A74" s="8">
        <v>2.49</v>
      </c>
      <c r="B74" s="9" t="s">
        <v>12</v>
      </c>
      <c r="C74" s="9" t="s">
        <v>14</v>
      </c>
      <c r="D74" s="21">
        <f>D75+D76+D77</f>
        <v>602000</v>
      </c>
      <c r="E74" s="10">
        <f>E75+E76+E77</f>
        <v>0</v>
      </c>
      <c r="F74" s="21">
        <f>F75+F76+F77</f>
        <v>376136</v>
      </c>
      <c r="G74" s="10">
        <f>G75+G76+G77</f>
        <v>0</v>
      </c>
      <c r="H74" s="25">
        <f t="shared" si="1"/>
        <v>225864</v>
      </c>
      <c r="I74" s="23"/>
    </row>
    <row r="75" spans="1:9" ht="21" customHeight="1">
      <c r="A75" s="5"/>
      <c r="B75" s="6" t="s">
        <v>107</v>
      </c>
      <c r="C75" s="6" t="s">
        <v>148</v>
      </c>
      <c r="D75" s="19">
        <f>215000+285000</f>
        <v>500000</v>
      </c>
      <c r="E75" s="7"/>
      <c r="F75" s="19">
        <f>62575+96387+170424</f>
        <v>329386</v>
      </c>
      <c r="G75" s="7"/>
      <c r="H75" s="25">
        <f t="shared" si="1"/>
        <v>170614</v>
      </c>
      <c r="I75" s="23"/>
    </row>
    <row r="76" spans="1:9" ht="18.75" customHeight="1">
      <c r="A76" s="5"/>
      <c r="B76" s="6" t="s">
        <v>108</v>
      </c>
      <c r="C76" s="6" t="s">
        <v>150</v>
      </c>
      <c r="D76" s="19">
        <f>1606000-66000-900000-138000-165000-285000</f>
        <v>52000</v>
      </c>
      <c r="E76" s="7"/>
      <c r="F76" s="19">
        <f>11850+4500+26400+4000</f>
        <v>46750</v>
      </c>
      <c r="G76" s="7"/>
      <c r="H76" s="25">
        <f t="shared" si="1"/>
        <v>5250</v>
      </c>
      <c r="I76" s="23"/>
    </row>
    <row r="77" spans="1:9" ht="18.75" customHeight="1">
      <c r="A77" s="5"/>
      <c r="B77" s="6" t="s">
        <v>131</v>
      </c>
      <c r="C77" s="6" t="s">
        <v>151</v>
      </c>
      <c r="D77" s="19">
        <f>150000-100000</f>
        <v>50000</v>
      </c>
      <c r="E77" s="7"/>
      <c r="F77" s="19"/>
      <c r="G77" s="7"/>
      <c r="H77" s="25">
        <f aca="true" t="shared" si="3" ref="H77:H142">D77-F77</f>
        <v>50000</v>
      </c>
      <c r="I77" s="23"/>
    </row>
    <row r="78" spans="1:9" s="3" customFormat="1" ht="25.5" customHeight="1">
      <c r="A78" s="8">
        <v>2.5</v>
      </c>
      <c r="B78" s="9" t="s">
        <v>32</v>
      </c>
      <c r="C78" s="9" t="s">
        <v>37</v>
      </c>
      <c r="D78" s="10">
        <f>D79+D80+D81+D82+D83+D84</f>
        <v>17477500</v>
      </c>
      <c r="E78" s="10">
        <f>E79+E80+E81+E82+E83+E84</f>
        <v>0</v>
      </c>
      <c r="F78" s="21">
        <f>F79+F80+F81+F82+F83+F84</f>
        <v>5678160.590000001</v>
      </c>
      <c r="G78" s="10">
        <f>G79+G80+G81+G82+G83+G84</f>
        <v>0</v>
      </c>
      <c r="H78" s="25">
        <f t="shared" si="3"/>
        <v>11799339.41</v>
      </c>
      <c r="I78" s="23"/>
    </row>
    <row r="79" spans="1:9" ht="20.25" customHeight="1">
      <c r="A79" s="5"/>
      <c r="B79" s="6" t="s">
        <v>132</v>
      </c>
      <c r="C79" s="6" t="s">
        <v>146</v>
      </c>
      <c r="D79" s="19">
        <f>10000+15000+25000+10000</f>
        <v>60000</v>
      </c>
      <c r="E79" s="7"/>
      <c r="F79" s="19">
        <f>3300+7150+8800+3300+9900+3300+14300+3300</f>
        <v>53350</v>
      </c>
      <c r="G79" s="7"/>
      <c r="H79" s="25">
        <f t="shared" si="3"/>
        <v>6650</v>
      </c>
      <c r="I79" s="23"/>
    </row>
    <row r="80" spans="1:9" ht="18.75" customHeight="1">
      <c r="A80" s="5"/>
      <c r="B80" s="6" t="s">
        <v>110</v>
      </c>
      <c r="C80" s="6" t="s">
        <v>147</v>
      </c>
      <c r="D80" s="19">
        <f>3251000-40000-73000-80000</f>
        <v>3058000</v>
      </c>
      <c r="E80" s="7"/>
      <c r="F80" s="19">
        <f>101988.56+134975.47+152841.22+100884.01+89169.75+143488.92+102621.15+118109.52+146731.02+105049.13+11332.43+102843.12+72132.34+15525.59+98703.15+61527.35+103122.4+47276.69+66345.33+49759+29693.75+56117.37</f>
        <v>1910237.27</v>
      </c>
      <c r="G80" s="7"/>
      <c r="H80" s="25">
        <f t="shared" si="3"/>
        <v>1147762.73</v>
      </c>
      <c r="I80" s="23"/>
    </row>
    <row r="81" spans="1:9" ht="17.25" customHeight="1">
      <c r="A81" s="5"/>
      <c r="B81" s="6" t="s">
        <v>109</v>
      </c>
      <c r="C81" s="6" t="s">
        <v>148</v>
      </c>
      <c r="D81" s="19">
        <f>3844000-20000-20000-197000-100000+10605600-120000-100-256000+200000-150000-450000</f>
        <v>13336500</v>
      </c>
      <c r="E81" s="7"/>
      <c r="F81" s="19">
        <f>12006+35000+288011+7000+17131.55+2500+56746+10005+77346+3476.19+175947+5465.3+1000+105060+29014+55748+59895+1001+106427+14904+12508+250158+20669.07+1000+40508+169478+133216+85372+238596.38+1001+496.3+60300+1960.03+47454+107452+31796.2+6003+58028+106.06+10000+200395+92615+93903</f>
        <v>2726698.0800000005</v>
      </c>
      <c r="G81" s="7"/>
      <c r="H81" s="25">
        <f t="shared" si="3"/>
        <v>10609801.92</v>
      </c>
      <c r="I81" s="23"/>
    </row>
    <row r="82" spans="1:9" ht="20.25" customHeight="1">
      <c r="A82" s="5"/>
      <c r="B82" s="6" t="s">
        <v>111</v>
      </c>
      <c r="C82" s="6" t="s">
        <v>150</v>
      </c>
      <c r="D82" s="19">
        <f>18000+10000+100000+75000+85000+110000+40000+100000+70000</f>
        <v>608000</v>
      </c>
      <c r="E82" s="7"/>
      <c r="F82" s="19">
        <f>397768.77+6003+20010+13006.3+566+552+55025+27596.06+1500+10000+10156.17+503+20010+23954.74+12650+5000</f>
        <v>604301.04</v>
      </c>
      <c r="G82" s="7"/>
      <c r="H82" s="25">
        <f t="shared" si="3"/>
        <v>3698.9599999999627</v>
      </c>
      <c r="I82" s="23"/>
    </row>
    <row r="83" spans="1:9" ht="20.25" customHeight="1">
      <c r="A83" s="5"/>
      <c r="B83" s="6" t="s">
        <v>133</v>
      </c>
      <c r="C83" s="6" t="s">
        <v>151</v>
      </c>
      <c r="D83" s="19">
        <f>70000-10000</f>
        <v>60000</v>
      </c>
      <c r="E83" s="7"/>
      <c r="F83" s="19">
        <f>32010</f>
        <v>32010</v>
      </c>
      <c r="G83" s="7"/>
      <c r="H83" s="25">
        <f t="shared" si="3"/>
        <v>27990</v>
      </c>
      <c r="I83" s="23"/>
    </row>
    <row r="84" spans="1:9" ht="20.25" customHeight="1">
      <c r="A84" s="5"/>
      <c r="B84" s="6" t="s">
        <v>134</v>
      </c>
      <c r="C84" s="6" t="s">
        <v>152</v>
      </c>
      <c r="D84" s="19">
        <f>150000+50000+40000+55000+10000+40000+10000</f>
        <v>355000</v>
      </c>
      <c r="E84" s="7"/>
      <c r="F84" s="19">
        <f>98000+31732+23100+29466+53900+4764+37500+1204+8072+7140+1519.2+7552+37500+7165+2950</f>
        <v>351564.2</v>
      </c>
      <c r="G84" s="7"/>
      <c r="H84" s="25">
        <f t="shared" si="3"/>
        <v>3435.7999999999884</v>
      </c>
      <c r="I84" s="23"/>
    </row>
    <row r="85" spans="1:9" s="3" customFormat="1" ht="25.5" customHeight="1">
      <c r="A85" s="8">
        <v>2.52</v>
      </c>
      <c r="B85" s="9" t="s">
        <v>8</v>
      </c>
      <c r="C85" s="9" t="s">
        <v>26</v>
      </c>
      <c r="D85" s="21">
        <f>D86+D87</f>
        <v>0</v>
      </c>
      <c r="E85" s="10">
        <f>E86+E87</f>
        <v>0</v>
      </c>
      <c r="F85" s="21">
        <f>F86+F87</f>
        <v>0</v>
      </c>
      <c r="G85" s="10">
        <f>G86+G87</f>
        <v>0</v>
      </c>
      <c r="H85" s="25">
        <f t="shared" si="3"/>
        <v>0</v>
      </c>
      <c r="I85" s="23"/>
    </row>
    <row r="86" spans="1:9" ht="17.25" customHeight="1">
      <c r="A86" s="5"/>
      <c r="B86" s="6" t="s">
        <v>112</v>
      </c>
      <c r="C86" s="6" t="s">
        <v>148</v>
      </c>
      <c r="D86" s="19">
        <f>20000-20000</f>
        <v>0</v>
      </c>
      <c r="E86" s="7"/>
      <c r="F86" s="19">
        <f>17345.29-17345.29</f>
        <v>0</v>
      </c>
      <c r="G86" s="7"/>
      <c r="H86" s="25">
        <f t="shared" si="3"/>
        <v>0</v>
      </c>
      <c r="I86" s="23"/>
    </row>
    <row r="87" spans="1:9" ht="17.25" customHeight="1">
      <c r="A87" s="5"/>
      <c r="B87" s="6" t="s">
        <v>113</v>
      </c>
      <c r="C87" s="6" t="s">
        <v>150</v>
      </c>
      <c r="D87" s="29">
        <f>45000-20000-25000</f>
        <v>0</v>
      </c>
      <c r="E87" s="7"/>
      <c r="F87" s="19">
        <f>27708+64652+12000+10000+15000-129360</f>
        <v>0</v>
      </c>
      <c r="G87" s="7"/>
      <c r="H87" s="25">
        <f t="shared" si="3"/>
        <v>0</v>
      </c>
      <c r="I87" s="23"/>
    </row>
    <row r="88" spans="1:9" s="3" customFormat="1" ht="25.5" customHeight="1">
      <c r="A88" s="8">
        <v>2.58</v>
      </c>
      <c r="B88" s="9" t="s">
        <v>36</v>
      </c>
      <c r="C88" s="9" t="s">
        <v>38</v>
      </c>
      <c r="D88" s="20"/>
      <c r="E88" s="10">
        <f>E89+E90+E92</f>
        <v>0</v>
      </c>
      <c r="F88" s="20"/>
      <c r="G88" s="10">
        <f>G89+G90+G92</f>
        <v>0</v>
      </c>
      <c r="H88" s="25">
        <f t="shared" si="3"/>
        <v>0</v>
      </c>
      <c r="I88" s="23"/>
    </row>
    <row r="89" spans="1:9" ht="19.5" customHeight="1">
      <c r="A89" s="5"/>
      <c r="B89" s="6" t="s">
        <v>114</v>
      </c>
      <c r="C89" s="6" t="s">
        <v>147</v>
      </c>
      <c r="D89" s="7"/>
      <c r="E89" s="7"/>
      <c r="F89" s="19"/>
      <c r="G89" s="7"/>
      <c r="H89" s="25">
        <f t="shared" si="3"/>
        <v>0</v>
      </c>
      <c r="I89" s="23"/>
    </row>
    <row r="90" spans="1:9" ht="16.5" customHeight="1">
      <c r="A90" s="5"/>
      <c r="B90" s="6" t="s">
        <v>115</v>
      </c>
      <c r="C90" s="6" t="s">
        <v>148</v>
      </c>
      <c r="D90" s="7"/>
      <c r="E90" s="7"/>
      <c r="F90" s="19"/>
      <c r="G90" s="7"/>
      <c r="H90" s="25">
        <f t="shared" si="3"/>
        <v>0</v>
      </c>
      <c r="I90" s="23"/>
    </row>
    <row r="91" spans="1:9" ht="16.5" customHeight="1">
      <c r="A91" s="5"/>
      <c r="B91" s="6" t="s">
        <v>165</v>
      </c>
      <c r="C91" s="6" t="s">
        <v>153</v>
      </c>
      <c r="D91" s="7"/>
      <c r="E91" s="7"/>
      <c r="F91" s="19"/>
      <c r="G91" s="7"/>
      <c r="H91" s="25">
        <f t="shared" si="3"/>
        <v>0</v>
      </c>
      <c r="I91" s="23"/>
    </row>
    <row r="92" spans="1:9" ht="16.5" customHeight="1">
      <c r="A92" s="5"/>
      <c r="B92" s="6" t="s">
        <v>116</v>
      </c>
      <c r="C92" s="6" t="s">
        <v>152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2.59</v>
      </c>
      <c r="B93" s="9" t="s">
        <v>41</v>
      </c>
      <c r="C93" s="9" t="s">
        <v>17</v>
      </c>
      <c r="D93" s="21">
        <f>D94+D95+D96</f>
        <v>0</v>
      </c>
      <c r="E93" s="10">
        <f>+E94</f>
        <v>0</v>
      </c>
      <c r="F93" s="21">
        <f>F94+F95+F96</f>
        <v>0</v>
      </c>
      <c r="G93" s="10">
        <f>G94</f>
        <v>0</v>
      </c>
      <c r="H93" s="25">
        <f t="shared" si="3"/>
        <v>0</v>
      </c>
      <c r="I93" s="23"/>
      <c r="J93" s="24"/>
    </row>
    <row r="94" spans="1:9" ht="16.5" customHeight="1">
      <c r="A94" s="5"/>
      <c r="B94" s="6" t="s">
        <v>117</v>
      </c>
      <c r="C94" s="6" t="s">
        <v>150</v>
      </c>
      <c r="D94" s="19"/>
      <c r="E94" s="7"/>
      <c r="F94" s="19"/>
      <c r="G94" s="7"/>
      <c r="H94" s="25">
        <f t="shared" si="3"/>
        <v>0</v>
      </c>
      <c r="I94" s="23"/>
    </row>
    <row r="95" spans="1:9" ht="17.25" customHeight="1">
      <c r="A95" s="5"/>
      <c r="B95" s="6" t="s">
        <v>169</v>
      </c>
      <c r="C95" s="6" t="s">
        <v>151</v>
      </c>
      <c r="D95" s="19"/>
      <c r="E95" s="7"/>
      <c r="F95" s="19"/>
      <c r="G95" s="7"/>
      <c r="H95" s="25">
        <f t="shared" si="3"/>
        <v>0</v>
      </c>
      <c r="I95" s="23"/>
    </row>
    <row r="96" spans="1:9" ht="17.25" customHeight="1">
      <c r="A96" s="5"/>
      <c r="B96" s="6" t="s">
        <v>170</v>
      </c>
      <c r="C96" s="6" t="s">
        <v>152</v>
      </c>
      <c r="D96" s="7"/>
      <c r="E96" s="7"/>
      <c r="F96" s="19"/>
      <c r="G96" s="7"/>
      <c r="H96" s="25">
        <f t="shared" si="3"/>
        <v>0</v>
      </c>
      <c r="I96" s="23"/>
    </row>
    <row r="97" spans="1:10" s="3" customFormat="1" ht="25.5" customHeight="1">
      <c r="A97" s="8">
        <v>2.66</v>
      </c>
      <c r="B97" s="9" t="s">
        <v>27</v>
      </c>
      <c r="C97" s="9" t="s">
        <v>43</v>
      </c>
      <c r="D97" s="21">
        <f>D98+D100+D101+D102+D104+D105+D103+D99</f>
        <v>13825000</v>
      </c>
      <c r="E97" s="10">
        <f>E98+E100+E101+E102+E104+E105</f>
        <v>0</v>
      </c>
      <c r="F97" s="21">
        <f>F98+F100+F101+F102+F104+F105+F103+F99</f>
        <v>1443075.2599999998</v>
      </c>
      <c r="G97" s="10">
        <f>G98+G100+G101+G102+G104+G105</f>
        <v>0</v>
      </c>
      <c r="H97" s="25">
        <f t="shared" si="3"/>
        <v>12381924.74</v>
      </c>
      <c r="I97" s="23"/>
      <c r="J97" s="24"/>
    </row>
    <row r="98" spans="1:9" ht="18" customHeight="1">
      <c r="A98" s="5"/>
      <c r="B98" s="6" t="s">
        <v>118</v>
      </c>
      <c r="C98" s="6" t="s">
        <v>145</v>
      </c>
      <c r="D98" s="19">
        <v>54000</v>
      </c>
      <c r="E98" s="7"/>
      <c r="F98" s="19">
        <f>5149.32+4346.13+2777.39+3497.47+4176.08+38.99+2720.79+38.99+2927.29+2783.64+31.22+5.9+2979.74</f>
        <v>31472.950000000004</v>
      </c>
      <c r="G98" s="7"/>
      <c r="H98" s="25">
        <f t="shared" si="3"/>
        <v>22527.049999999996</v>
      </c>
      <c r="I98" s="23"/>
    </row>
    <row r="99" spans="1:9" ht="18" customHeight="1">
      <c r="A99" s="5"/>
      <c r="B99" s="6" t="s">
        <v>187</v>
      </c>
      <c r="C99" s="6" t="s">
        <v>146</v>
      </c>
      <c r="D99" s="19"/>
      <c r="E99" s="7"/>
      <c r="F99" s="19"/>
      <c r="G99" s="7"/>
      <c r="H99" s="25">
        <f t="shared" si="3"/>
        <v>0</v>
      </c>
      <c r="I99" s="23"/>
    </row>
    <row r="100" spans="1:9" ht="18" customHeight="1">
      <c r="A100" s="5"/>
      <c r="B100" s="6" t="s">
        <v>119</v>
      </c>
      <c r="C100" s="6" t="s">
        <v>147</v>
      </c>
      <c r="D100" s="19">
        <v>919000</v>
      </c>
      <c r="E100" s="7"/>
      <c r="F100" s="19">
        <f>10000+9539.71+10000+577.28+72547.11+216+15000+297+793.76+16279+10000+89633.26+10000+938.08+351+936.22+10000+10000+5396.55+10000+83541.19+87269.93+1118.48+10000+52689.13+8340.02+10000+10000+405+1082.4+10000+10000+499.5+1334.96+336.96+897.12+5000</f>
        <v>575019.6599999999</v>
      </c>
      <c r="G100" s="7"/>
      <c r="H100" s="25">
        <f t="shared" si="3"/>
        <v>343980.3400000001</v>
      </c>
      <c r="I100" s="23"/>
    </row>
    <row r="101" spans="1:9" ht="20.25" customHeight="1">
      <c r="A101" s="5"/>
      <c r="B101" s="6" t="s">
        <v>120</v>
      </c>
      <c r="C101" s="6" t="s">
        <v>148</v>
      </c>
      <c r="D101" s="19">
        <f>458000+11400000</f>
        <v>11858000</v>
      </c>
      <c r="E101" s="7"/>
      <c r="F101" s="19">
        <f>1124.42+2500+1124.42+20646+4798.62+9664+0.6+4832+4832+1252.2+2500+2500+4798.62+4798.62+9664+7600+1252.2+950.49+950.49+2500+950.49+4832+4832+4798.62+950.49+1252.2+5000+5220+5220+5184+950.49+1252.2+300+10440+5184+1252.2+950.49+5184+10440+1611.54+950.49+1000</f>
        <v>166043.89</v>
      </c>
      <c r="G101" s="7"/>
      <c r="H101" s="25">
        <f t="shared" si="3"/>
        <v>11691956.11</v>
      </c>
      <c r="I101" s="23"/>
    </row>
    <row r="102" spans="1:9" ht="19.5" customHeight="1">
      <c r="A102" s="5"/>
      <c r="B102" s="6" t="s">
        <v>121</v>
      </c>
      <c r="C102" s="6" t="s">
        <v>150</v>
      </c>
      <c r="D102" s="19">
        <v>692000</v>
      </c>
      <c r="E102" s="7"/>
      <c r="F102" s="19">
        <f>950.49+17426.78+35092+6524+6524+6524+6524+5685+8000+15775.84+17426.78+35092+3000+6523+9000+17295.5+6523+6523+6523+17426.77+45000+7000+12006+9004+1269+9712+9000+9712+9712+9712+29719.73+47848+23758.06+250+30000+19292.91+47848+1000+5500</f>
        <v>561702.86</v>
      </c>
      <c r="G102" s="7"/>
      <c r="H102" s="25">
        <f t="shared" si="3"/>
        <v>130297.14000000001</v>
      </c>
      <c r="I102" s="23"/>
    </row>
    <row r="103" spans="1:9" ht="19.5" customHeight="1">
      <c r="A103" s="5"/>
      <c r="B103" s="6" t="s">
        <v>141</v>
      </c>
      <c r="C103" s="6" t="s">
        <v>153</v>
      </c>
      <c r="D103" s="19">
        <v>20000</v>
      </c>
      <c r="E103" s="7"/>
      <c r="F103" s="19"/>
      <c r="G103" s="7"/>
      <c r="H103" s="25">
        <f t="shared" si="3"/>
        <v>20000</v>
      </c>
      <c r="I103" s="23"/>
    </row>
    <row r="104" spans="1:9" ht="18.75" customHeight="1">
      <c r="A104" s="5"/>
      <c r="B104" s="6" t="s">
        <v>122</v>
      </c>
      <c r="C104" s="6" t="s">
        <v>151</v>
      </c>
      <c r="D104" s="19">
        <v>62000</v>
      </c>
      <c r="E104" s="7"/>
      <c r="F104" s="19">
        <f>41730+5005+6900</f>
        <v>53635</v>
      </c>
      <c r="G104" s="7"/>
      <c r="H104" s="25">
        <f t="shared" si="3"/>
        <v>8365</v>
      </c>
      <c r="I104" s="23"/>
    </row>
    <row r="105" spans="1:9" ht="18.75" customHeight="1">
      <c r="A105" s="5"/>
      <c r="B105" s="6" t="s">
        <v>123</v>
      </c>
      <c r="C105" s="6" t="s">
        <v>152</v>
      </c>
      <c r="D105" s="19">
        <f>195000+25000</f>
        <v>220000</v>
      </c>
      <c r="E105" s="7"/>
      <c r="F105" s="19">
        <f>474+316+1500+10000+2887+2145+695+1039+686+473+25000+2900+174+594+1256.9+749+108+1140+3064</f>
        <v>55200.9</v>
      </c>
      <c r="G105" s="7"/>
      <c r="H105" s="25">
        <f t="shared" si="3"/>
        <v>164799.1</v>
      </c>
      <c r="I105" s="23"/>
    </row>
    <row r="106" spans="1:9" s="3" customFormat="1" ht="25.5" customHeight="1">
      <c r="A106" s="8">
        <v>2.86</v>
      </c>
      <c r="B106" s="9" t="s">
        <v>24</v>
      </c>
      <c r="C106" s="9" t="s">
        <v>40</v>
      </c>
      <c r="D106" s="21">
        <f>D107+D108+D109+D110</f>
        <v>100000</v>
      </c>
      <c r="E106" s="10">
        <f>E108</f>
        <v>0</v>
      </c>
      <c r="F106" s="21">
        <f>F107+F109+F110+F108</f>
        <v>31600</v>
      </c>
      <c r="G106" s="10">
        <f>G108</f>
        <v>0</v>
      </c>
      <c r="H106" s="25">
        <f t="shared" si="3"/>
        <v>68400</v>
      </c>
      <c r="I106" s="23"/>
    </row>
    <row r="107" spans="1:9" s="3" customFormat="1" ht="25.5" customHeight="1">
      <c r="A107" s="8"/>
      <c r="B107" s="6" t="s">
        <v>182</v>
      </c>
      <c r="C107" s="6" t="s">
        <v>146</v>
      </c>
      <c r="D107" s="28"/>
      <c r="E107" s="10"/>
      <c r="F107" s="28"/>
      <c r="G107" s="10"/>
      <c r="H107" s="25">
        <f t="shared" si="3"/>
        <v>0</v>
      </c>
      <c r="I107" s="23"/>
    </row>
    <row r="108" spans="1:9" ht="18" customHeight="1">
      <c r="A108" s="5"/>
      <c r="B108" s="6" t="s">
        <v>135</v>
      </c>
      <c r="C108" s="6" t="s">
        <v>150</v>
      </c>
      <c r="D108" s="19">
        <f>50000-30000</f>
        <v>20000</v>
      </c>
      <c r="E108" s="7"/>
      <c r="F108" s="19">
        <f>7200</f>
        <v>7200</v>
      </c>
      <c r="G108" s="7"/>
      <c r="H108" s="25">
        <f t="shared" si="3"/>
        <v>12800</v>
      </c>
      <c r="I108" s="23"/>
    </row>
    <row r="109" spans="1:9" ht="18" customHeight="1">
      <c r="A109" s="5"/>
      <c r="B109" s="6" t="s">
        <v>183</v>
      </c>
      <c r="C109" s="6" t="s">
        <v>151</v>
      </c>
      <c r="D109" s="19">
        <v>50000</v>
      </c>
      <c r="E109" s="7"/>
      <c r="F109" s="19"/>
      <c r="G109" s="7"/>
      <c r="H109" s="25">
        <f t="shared" si="3"/>
        <v>50000</v>
      </c>
      <c r="I109" s="23"/>
    </row>
    <row r="110" spans="1:9" ht="18" customHeight="1">
      <c r="A110" s="5"/>
      <c r="B110" s="6" t="s">
        <v>188</v>
      </c>
      <c r="C110" s="6" t="s">
        <v>152</v>
      </c>
      <c r="D110" s="19">
        <f>30000</f>
        <v>30000</v>
      </c>
      <c r="E110" s="7"/>
      <c r="F110" s="19">
        <f>21970+2430</f>
        <v>24400</v>
      </c>
      <c r="G110" s="7"/>
      <c r="H110" s="25">
        <f t="shared" si="3"/>
        <v>5600</v>
      </c>
      <c r="I110" s="23"/>
    </row>
    <row r="111" spans="1:9" ht="25.5" customHeight="1">
      <c r="A111" s="5"/>
      <c r="B111" s="11" t="s">
        <v>53</v>
      </c>
      <c r="C111" s="11" t="s">
        <v>67</v>
      </c>
      <c r="D111" s="13">
        <f aca="true" t="shared" si="4" ref="D111:G112">D112</f>
        <v>180000</v>
      </c>
      <c r="E111" s="13">
        <f t="shared" si="4"/>
        <v>0</v>
      </c>
      <c r="F111" s="20">
        <f t="shared" si="4"/>
        <v>119589</v>
      </c>
      <c r="G111" s="13">
        <f t="shared" si="4"/>
        <v>0</v>
      </c>
      <c r="H111" s="25">
        <f t="shared" si="3"/>
        <v>60411</v>
      </c>
      <c r="I111" s="23"/>
    </row>
    <row r="112" spans="1:9" s="17" customFormat="1" ht="19.5" customHeight="1">
      <c r="A112" s="5">
        <v>2.79</v>
      </c>
      <c r="B112" s="6" t="s">
        <v>31</v>
      </c>
      <c r="C112" s="6" t="s">
        <v>34</v>
      </c>
      <c r="D112" s="7">
        <f>D113</f>
        <v>180000</v>
      </c>
      <c r="E112" s="7">
        <f t="shared" si="4"/>
        <v>0</v>
      </c>
      <c r="F112" s="19">
        <f>F113</f>
        <v>119589</v>
      </c>
      <c r="G112" s="7">
        <f t="shared" si="4"/>
        <v>0</v>
      </c>
      <c r="H112" s="25">
        <f t="shared" si="3"/>
        <v>60411</v>
      </c>
      <c r="I112" s="23"/>
    </row>
    <row r="113" spans="1:9" ht="36.75" customHeight="1">
      <c r="A113" s="5"/>
      <c r="B113" s="6" t="s">
        <v>136</v>
      </c>
      <c r="C113" s="6" t="s">
        <v>154</v>
      </c>
      <c r="D113" s="19">
        <v>180000</v>
      </c>
      <c r="E113" s="7"/>
      <c r="F113" s="19">
        <f>44845.5+4982.9+4982.9+4982.9+14948.7+14948.7+14948.7+14948.7</f>
        <v>119589</v>
      </c>
      <c r="G113" s="7"/>
      <c r="H113" s="25">
        <f t="shared" si="3"/>
        <v>60411</v>
      </c>
      <c r="I113" s="23"/>
    </row>
    <row r="114" spans="1:9" ht="18.75" customHeight="1">
      <c r="A114" s="5"/>
      <c r="B114" s="11" t="s">
        <v>184</v>
      </c>
      <c r="C114" s="11" t="s">
        <v>68</v>
      </c>
      <c r="D114" s="13">
        <f aca="true" t="shared" si="5" ref="D114:G115">D115</f>
        <v>30000</v>
      </c>
      <c r="E114" s="13">
        <f t="shared" si="5"/>
        <v>0</v>
      </c>
      <c r="F114" s="20">
        <f t="shared" si="5"/>
        <v>25000</v>
      </c>
      <c r="G114" s="13">
        <f t="shared" si="5"/>
        <v>0</v>
      </c>
      <c r="H114" s="25">
        <f t="shared" si="3"/>
        <v>5000</v>
      </c>
      <c r="I114" s="23"/>
    </row>
    <row r="115" spans="1:9" s="17" customFormat="1" ht="17.25" customHeight="1">
      <c r="A115" s="5">
        <v>2.81</v>
      </c>
      <c r="B115" s="6" t="s">
        <v>6</v>
      </c>
      <c r="C115" s="6" t="s">
        <v>13</v>
      </c>
      <c r="D115" s="7">
        <f>D116</f>
        <v>30000</v>
      </c>
      <c r="E115" s="7">
        <f t="shared" si="5"/>
        <v>0</v>
      </c>
      <c r="F115" s="19">
        <f>F116</f>
        <v>25000</v>
      </c>
      <c r="G115" s="7">
        <f t="shared" si="5"/>
        <v>0</v>
      </c>
      <c r="H115" s="25">
        <f t="shared" si="3"/>
        <v>5000</v>
      </c>
      <c r="I115" s="23"/>
    </row>
    <row r="116" spans="1:9" ht="16.5" customHeight="1">
      <c r="A116" s="5"/>
      <c r="B116" s="6" t="s">
        <v>185</v>
      </c>
      <c r="C116" s="6" t="s">
        <v>155</v>
      </c>
      <c r="D116" s="19">
        <v>30000</v>
      </c>
      <c r="E116" s="7"/>
      <c r="F116" s="19">
        <f>20000+5000</f>
        <v>25000</v>
      </c>
      <c r="G116" s="7"/>
      <c r="H116" s="25">
        <f t="shared" si="3"/>
        <v>5000</v>
      </c>
      <c r="I116" s="23"/>
    </row>
    <row r="117" spans="1:9" ht="48.75" customHeight="1">
      <c r="A117" s="5"/>
      <c r="B117" s="11" t="s">
        <v>54</v>
      </c>
      <c r="C117" s="11" t="s">
        <v>69</v>
      </c>
      <c r="D117" s="13">
        <f aca="true" t="shared" si="6" ref="D117:G118">D118</f>
        <v>0</v>
      </c>
      <c r="E117" s="13">
        <f t="shared" si="6"/>
        <v>0</v>
      </c>
      <c r="F117" s="20">
        <f t="shared" si="6"/>
        <v>0</v>
      </c>
      <c r="G117" s="13">
        <f t="shared" si="6"/>
        <v>0</v>
      </c>
      <c r="H117" s="25">
        <f t="shared" si="3"/>
        <v>0</v>
      </c>
      <c r="I117" s="23"/>
    </row>
    <row r="118" spans="1:9" s="17" customFormat="1" ht="15.75" customHeight="1">
      <c r="A118" s="5">
        <v>2.48</v>
      </c>
      <c r="B118" s="6" t="s">
        <v>4</v>
      </c>
      <c r="C118" s="6" t="s">
        <v>16</v>
      </c>
      <c r="D118" s="7">
        <f t="shared" si="6"/>
        <v>0</v>
      </c>
      <c r="E118" s="7">
        <f t="shared" si="6"/>
        <v>0</v>
      </c>
      <c r="F118" s="19">
        <f t="shared" si="6"/>
        <v>0</v>
      </c>
      <c r="G118" s="7">
        <f t="shared" si="6"/>
        <v>0</v>
      </c>
      <c r="H118" s="25">
        <f t="shared" si="3"/>
        <v>0</v>
      </c>
      <c r="I118" s="23"/>
    </row>
    <row r="119" spans="1:9" ht="18" customHeight="1">
      <c r="A119" s="5"/>
      <c r="B119" s="6" t="s">
        <v>137</v>
      </c>
      <c r="C119" s="6" t="s">
        <v>151</v>
      </c>
      <c r="D119" s="7"/>
      <c r="E119" s="7"/>
      <c r="F119" s="19"/>
      <c r="G119" s="7"/>
      <c r="H119" s="25">
        <f t="shared" si="3"/>
        <v>0</v>
      </c>
      <c r="I119" s="23"/>
    </row>
    <row r="120" spans="1:9" ht="49.5" customHeight="1">
      <c r="A120" s="5"/>
      <c r="B120" s="11" t="s">
        <v>159</v>
      </c>
      <c r="C120" s="11" t="s">
        <v>160</v>
      </c>
      <c r="D120" s="13">
        <f>D123+D127</f>
        <v>21360300</v>
      </c>
      <c r="E120" s="13">
        <f>E121+E123</f>
        <v>0</v>
      </c>
      <c r="F120" s="20">
        <f>F123</f>
        <v>87200</v>
      </c>
      <c r="G120" s="13">
        <f>G121+G123</f>
        <v>0</v>
      </c>
      <c r="H120" s="25">
        <f t="shared" si="3"/>
        <v>21273100</v>
      </c>
      <c r="I120" s="23"/>
    </row>
    <row r="121" spans="1:9" ht="18" customHeight="1">
      <c r="A121" s="5">
        <v>2.48</v>
      </c>
      <c r="B121" s="6" t="s">
        <v>4</v>
      </c>
      <c r="C121" s="6" t="s">
        <v>16</v>
      </c>
      <c r="D121" s="7">
        <f>D122</f>
        <v>0</v>
      </c>
      <c r="E121" s="7">
        <f>E122</f>
        <v>0</v>
      </c>
      <c r="F121" s="19"/>
      <c r="G121" s="7">
        <f>G122</f>
        <v>0</v>
      </c>
      <c r="H121" s="25">
        <f t="shared" si="3"/>
        <v>0</v>
      </c>
      <c r="I121" s="23"/>
    </row>
    <row r="122" spans="1:9" ht="18" customHeight="1">
      <c r="A122" s="5"/>
      <c r="B122" s="6" t="s">
        <v>137</v>
      </c>
      <c r="C122" s="6" t="s">
        <v>151</v>
      </c>
      <c r="D122" s="19"/>
      <c r="E122" s="7"/>
      <c r="F122" s="19"/>
      <c r="G122" s="7"/>
      <c r="H122" s="25">
        <f t="shared" si="3"/>
        <v>0</v>
      </c>
      <c r="I122" s="23"/>
    </row>
    <row r="123" spans="1:9" ht="23.25" customHeight="1">
      <c r="A123" s="5"/>
      <c r="B123" s="6" t="s">
        <v>8</v>
      </c>
      <c r="C123" s="18" t="s">
        <v>26</v>
      </c>
      <c r="D123" s="19">
        <f>D124+D125+D126</f>
        <v>19360300</v>
      </c>
      <c r="E123" s="7">
        <f>E125</f>
        <v>0</v>
      </c>
      <c r="F123" s="19">
        <f>F124+F125+F126</f>
        <v>87200</v>
      </c>
      <c r="G123" s="7">
        <f>G125</f>
        <v>0</v>
      </c>
      <c r="H123" s="25">
        <f t="shared" si="3"/>
        <v>19273100</v>
      </c>
      <c r="I123" s="23"/>
    </row>
    <row r="124" spans="1:9" ht="23.25" customHeight="1">
      <c r="A124" s="5"/>
      <c r="B124" s="6" t="s">
        <v>112</v>
      </c>
      <c r="C124" s="6" t="s">
        <v>148</v>
      </c>
      <c r="D124" s="19"/>
      <c r="E124" s="7"/>
      <c r="F124" s="19"/>
      <c r="G124" s="7"/>
      <c r="H124" s="25"/>
      <c r="I124" s="23"/>
    </row>
    <row r="125" spans="1:9" ht="18" customHeight="1">
      <c r="A125" s="5"/>
      <c r="B125" s="6" t="s">
        <v>113</v>
      </c>
      <c r="C125" s="6" t="s">
        <v>150</v>
      </c>
      <c r="D125" s="19">
        <f>2000+20000+25000+20000+15000+6000+450000</f>
        <v>538000</v>
      </c>
      <c r="E125" s="7"/>
      <c r="F125" s="19">
        <f>18360+42840+20000+6000</f>
        <v>87200</v>
      </c>
      <c r="G125" s="7"/>
      <c r="H125" s="25">
        <f t="shared" si="3"/>
        <v>450800</v>
      </c>
      <c r="I125" s="23"/>
    </row>
    <row r="126" spans="1:9" ht="18" customHeight="1">
      <c r="A126" s="5"/>
      <c r="B126" s="6" t="s">
        <v>161</v>
      </c>
      <c r="C126" s="6" t="s">
        <v>151</v>
      </c>
      <c r="D126" s="19">
        <f>40000+16059000+2723300</f>
        <v>18822300</v>
      </c>
      <c r="E126" s="7"/>
      <c r="F126" s="19"/>
      <c r="G126" s="7"/>
      <c r="H126" s="25">
        <f t="shared" si="3"/>
        <v>18822300</v>
      </c>
      <c r="I126" s="23"/>
    </row>
    <row r="127" spans="1:9" ht="18" customHeight="1">
      <c r="A127" s="5"/>
      <c r="B127" s="6" t="s">
        <v>103</v>
      </c>
      <c r="C127" s="6" t="s">
        <v>150</v>
      </c>
      <c r="D127" s="19">
        <f>2824000-824000</f>
        <v>2000000</v>
      </c>
      <c r="E127" s="7"/>
      <c r="F127" s="19"/>
      <c r="G127" s="7"/>
      <c r="H127" s="25">
        <f t="shared" si="3"/>
        <v>2000000</v>
      </c>
      <c r="I127" s="23"/>
    </row>
    <row r="128" spans="1:9" ht="72.75" customHeight="1">
      <c r="A128" s="5"/>
      <c r="B128" s="11" t="s">
        <v>55</v>
      </c>
      <c r="C128" s="11" t="s">
        <v>70</v>
      </c>
      <c r="D128" s="13">
        <f>D129</f>
        <v>0</v>
      </c>
      <c r="E128" s="13">
        <f>E129</f>
        <v>0</v>
      </c>
      <c r="F128" s="20">
        <f>F129</f>
        <v>0</v>
      </c>
      <c r="G128" s="13">
        <f>G129</f>
        <v>0</v>
      </c>
      <c r="H128" s="25">
        <f t="shared" si="3"/>
        <v>0</v>
      </c>
      <c r="I128" s="23"/>
    </row>
    <row r="129" spans="1:9" s="17" customFormat="1" ht="17.25" customHeight="1">
      <c r="A129" s="15">
        <v>2.5</v>
      </c>
      <c r="B129" s="6" t="s">
        <v>32</v>
      </c>
      <c r="C129" s="6" t="s">
        <v>37</v>
      </c>
      <c r="D129" s="7">
        <f>D131</f>
        <v>0</v>
      </c>
      <c r="E129" s="7">
        <f>E131</f>
        <v>0</v>
      </c>
      <c r="F129" s="19">
        <f>F131</f>
        <v>0</v>
      </c>
      <c r="G129" s="7">
        <f>G131</f>
        <v>0</v>
      </c>
      <c r="H129" s="25">
        <f t="shared" si="3"/>
        <v>0</v>
      </c>
      <c r="I129" s="23"/>
    </row>
    <row r="130" spans="1:9" ht="12.75" hidden="1">
      <c r="A130" s="5"/>
      <c r="B130" s="6"/>
      <c r="C130" s="6"/>
      <c r="D130" s="7"/>
      <c r="E130" s="7"/>
      <c r="F130" s="19"/>
      <c r="G130" s="7"/>
      <c r="H130" s="25">
        <f t="shared" si="3"/>
        <v>0</v>
      </c>
      <c r="I130" s="23"/>
    </row>
    <row r="131" spans="1:9" ht="36.75" customHeight="1">
      <c r="A131" s="5"/>
      <c r="B131" s="6" t="s">
        <v>138</v>
      </c>
      <c r="C131" s="6" t="s">
        <v>156</v>
      </c>
      <c r="D131" s="7"/>
      <c r="E131" s="7"/>
      <c r="F131" s="19"/>
      <c r="G131" s="7"/>
      <c r="H131" s="25">
        <f t="shared" si="3"/>
        <v>0</v>
      </c>
      <c r="I131" s="23"/>
    </row>
    <row r="132" spans="1:9" ht="18.75" customHeight="1">
      <c r="A132" s="5"/>
      <c r="B132" s="11" t="s">
        <v>56</v>
      </c>
      <c r="C132" s="11" t="s">
        <v>71</v>
      </c>
      <c r="D132" s="20">
        <f>D133</f>
        <v>0</v>
      </c>
      <c r="E132" s="20">
        <f>E133</f>
        <v>0</v>
      </c>
      <c r="F132" s="20">
        <f>F133</f>
        <v>0</v>
      </c>
      <c r="G132" s="13">
        <f>G133</f>
        <v>0</v>
      </c>
      <c r="H132" s="25">
        <f t="shared" si="3"/>
        <v>0</v>
      </c>
      <c r="I132" s="23"/>
    </row>
    <row r="133" spans="1:9" s="17" customFormat="1" ht="24.75" customHeight="1">
      <c r="A133" s="5">
        <v>2.94</v>
      </c>
      <c r="B133" s="6" t="s">
        <v>20</v>
      </c>
      <c r="C133" s="6" t="s">
        <v>30</v>
      </c>
      <c r="D133" s="19"/>
      <c r="E133" s="19">
        <f>E135</f>
        <v>0</v>
      </c>
      <c r="F133" s="19"/>
      <c r="G133" s="7">
        <f>G135</f>
        <v>0</v>
      </c>
      <c r="H133" s="25">
        <f t="shared" si="3"/>
        <v>0</v>
      </c>
      <c r="I133" s="23"/>
    </row>
    <row r="134" spans="1:9" ht="12.75" hidden="1">
      <c r="A134" s="5"/>
      <c r="B134" s="11"/>
      <c r="C134" s="6"/>
      <c r="D134" s="19"/>
      <c r="E134" s="19"/>
      <c r="F134" s="19"/>
      <c r="G134" s="7"/>
      <c r="H134" s="25">
        <f t="shared" si="3"/>
        <v>0</v>
      </c>
      <c r="I134" s="23"/>
    </row>
    <row r="135" spans="1:9" ht="17.25" customHeight="1">
      <c r="A135" s="5"/>
      <c r="B135" s="6" t="s">
        <v>139</v>
      </c>
      <c r="C135" s="6" t="s">
        <v>157</v>
      </c>
      <c r="D135" s="19"/>
      <c r="E135" s="19">
        <f>D135</f>
        <v>0</v>
      </c>
      <c r="F135" s="19"/>
      <c r="G135" s="7">
        <f>F135</f>
        <v>0</v>
      </c>
      <c r="H135" s="25">
        <f t="shared" si="3"/>
        <v>0</v>
      </c>
      <c r="I135" s="23"/>
    </row>
    <row r="136" spans="1:9" ht="61.5" customHeight="1">
      <c r="A136" s="5"/>
      <c r="B136" s="11" t="s">
        <v>60</v>
      </c>
      <c r="C136" s="11" t="s">
        <v>72</v>
      </c>
      <c r="D136" s="13">
        <f>D137</f>
        <v>0</v>
      </c>
      <c r="E136" s="13">
        <f>E137</f>
        <v>0</v>
      </c>
      <c r="F136" s="20">
        <f>F137</f>
        <v>0</v>
      </c>
      <c r="G136" s="13">
        <f>G137</f>
        <v>0</v>
      </c>
      <c r="H136" s="25">
        <f t="shared" si="3"/>
        <v>0</v>
      </c>
      <c r="I136" s="23"/>
    </row>
    <row r="137" spans="1:9" s="17" customFormat="1" ht="19.5" customHeight="1">
      <c r="A137" s="5">
        <v>2.48</v>
      </c>
      <c r="B137" s="6" t="s">
        <v>4</v>
      </c>
      <c r="C137" s="6" t="s">
        <v>16</v>
      </c>
      <c r="D137" s="7">
        <f>D139</f>
        <v>0</v>
      </c>
      <c r="E137" s="7">
        <f>E139</f>
        <v>0</v>
      </c>
      <c r="F137" s="19">
        <f>F139</f>
        <v>0</v>
      </c>
      <c r="G137" s="7">
        <f>G139</f>
        <v>0</v>
      </c>
      <c r="H137" s="25">
        <f t="shared" si="3"/>
        <v>0</v>
      </c>
      <c r="I137" s="23"/>
    </row>
    <row r="138" spans="1:9" ht="12.75" hidden="1">
      <c r="A138" s="5"/>
      <c r="B138" s="11"/>
      <c r="C138" s="6"/>
      <c r="D138" s="7"/>
      <c r="E138" s="7"/>
      <c r="F138" s="19"/>
      <c r="G138" s="7"/>
      <c r="H138" s="25">
        <f t="shared" si="3"/>
        <v>0</v>
      </c>
      <c r="I138" s="23"/>
    </row>
    <row r="139" spans="1:9" ht="36.75" customHeight="1">
      <c r="A139" s="5"/>
      <c r="B139" s="6" t="s">
        <v>106</v>
      </c>
      <c r="C139" s="6" t="s">
        <v>158</v>
      </c>
      <c r="D139" s="7">
        <f>424000-424000</f>
        <v>0</v>
      </c>
      <c r="E139" s="7"/>
      <c r="F139" s="19"/>
      <c r="G139" s="7"/>
      <c r="H139" s="25">
        <f t="shared" si="3"/>
        <v>0</v>
      </c>
      <c r="I139" s="23"/>
    </row>
    <row r="140" spans="1:9" ht="36.75" customHeight="1">
      <c r="A140" s="5"/>
      <c r="B140" s="11" t="s">
        <v>162</v>
      </c>
      <c r="C140" s="6" t="s">
        <v>153</v>
      </c>
      <c r="D140" s="13"/>
      <c r="E140" s="13"/>
      <c r="F140" s="20">
        <f>F141</f>
        <v>0</v>
      </c>
      <c r="G140" s="7"/>
      <c r="H140" s="25">
        <f t="shared" si="3"/>
        <v>0</v>
      </c>
      <c r="I140" s="23"/>
    </row>
    <row r="141" spans="1:9" ht="36.75" customHeight="1">
      <c r="A141" s="5"/>
      <c r="B141" s="6" t="s">
        <v>163</v>
      </c>
      <c r="C141" s="6" t="s">
        <v>164</v>
      </c>
      <c r="D141" s="7"/>
      <c r="E141" s="7"/>
      <c r="F141" s="19"/>
      <c r="G141" s="7"/>
      <c r="H141" s="25">
        <f t="shared" si="3"/>
        <v>0</v>
      </c>
      <c r="I141" s="23"/>
    </row>
    <row r="142" spans="1:9" ht="27.75" customHeight="1">
      <c r="A142" s="5"/>
      <c r="B142" s="11" t="s">
        <v>57</v>
      </c>
      <c r="C142" s="11" t="s">
        <v>73</v>
      </c>
      <c r="D142" s="13">
        <f>D143+D145</f>
        <v>147000</v>
      </c>
      <c r="E142" s="13">
        <f>E143+E145</f>
        <v>0</v>
      </c>
      <c r="F142" s="20">
        <f>F143+F145</f>
        <v>127218</v>
      </c>
      <c r="G142" s="13">
        <f>G143+G145</f>
        <v>0</v>
      </c>
      <c r="H142" s="25">
        <f t="shared" si="3"/>
        <v>19782</v>
      </c>
      <c r="I142" s="23"/>
    </row>
    <row r="143" spans="1:9" s="17" customFormat="1" ht="59.25" customHeight="1">
      <c r="A143" s="5">
        <v>2.5</v>
      </c>
      <c r="B143" s="6" t="s">
        <v>22</v>
      </c>
      <c r="C143" s="6" t="s">
        <v>10</v>
      </c>
      <c r="D143" s="7">
        <f>D144</f>
        <v>121000</v>
      </c>
      <c r="E143" s="7">
        <f>E144</f>
        <v>0</v>
      </c>
      <c r="F143" s="19">
        <f>F144</f>
        <v>120586</v>
      </c>
      <c r="G143" s="7">
        <f>G144</f>
        <v>0</v>
      </c>
      <c r="H143" s="25">
        <f aca="true" t="shared" si="7" ref="H143:H160">D143-F143</f>
        <v>414</v>
      </c>
      <c r="I143" s="23"/>
    </row>
    <row r="144" spans="1:9" ht="15" customHeight="1">
      <c r="A144" s="5"/>
      <c r="B144" s="6" t="s">
        <v>140</v>
      </c>
      <c r="C144" s="6" t="s">
        <v>153</v>
      </c>
      <c r="D144" s="19">
        <f>52000-20000+82000+5000+2000</f>
        <v>121000</v>
      </c>
      <c r="E144" s="7"/>
      <c r="F144" s="19">
        <f>113113+4313+3160</f>
        <v>120586</v>
      </c>
      <c r="G144" s="7"/>
      <c r="H144" s="25">
        <f t="shared" si="7"/>
        <v>414</v>
      </c>
      <c r="I144" s="23"/>
    </row>
    <row r="145" spans="1:9" s="17" customFormat="1" ht="18" customHeight="1">
      <c r="A145" s="5">
        <v>2.66</v>
      </c>
      <c r="B145" s="6" t="s">
        <v>27</v>
      </c>
      <c r="C145" s="6" t="s">
        <v>43</v>
      </c>
      <c r="D145" s="19">
        <f>D146</f>
        <v>26000</v>
      </c>
      <c r="E145" s="7">
        <f>E146</f>
        <v>0</v>
      </c>
      <c r="F145" s="19">
        <f>F146</f>
        <v>6632</v>
      </c>
      <c r="G145" s="7">
        <f>G146</f>
        <v>0</v>
      </c>
      <c r="H145" s="25">
        <f t="shared" si="7"/>
        <v>19368</v>
      </c>
      <c r="I145" s="23"/>
    </row>
    <row r="146" spans="1:9" ht="18" customHeight="1">
      <c r="A146" s="5"/>
      <c r="B146" s="6" t="s">
        <v>141</v>
      </c>
      <c r="C146" s="6" t="s">
        <v>153</v>
      </c>
      <c r="D146" s="19">
        <v>26000</v>
      </c>
      <c r="E146" s="7"/>
      <c r="F146" s="19">
        <f>2923+3709</f>
        <v>6632</v>
      </c>
      <c r="G146" s="7"/>
      <c r="H146" s="25">
        <f t="shared" si="7"/>
        <v>19368</v>
      </c>
      <c r="I146" s="23"/>
    </row>
    <row r="147" spans="1:9" ht="18" customHeight="1">
      <c r="A147" s="5"/>
      <c r="B147" s="11" t="s">
        <v>58</v>
      </c>
      <c r="C147" s="11" t="s">
        <v>74</v>
      </c>
      <c r="D147" s="20">
        <f>D148+D150</f>
        <v>34000</v>
      </c>
      <c r="E147" s="13">
        <f>E148+E150</f>
        <v>0</v>
      </c>
      <c r="F147" s="20">
        <f>F148+F150</f>
        <v>31940</v>
      </c>
      <c r="G147" s="13">
        <f>G148+G150</f>
        <v>0</v>
      </c>
      <c r="H147" s="25">
        <f t="shared" si="7"/>
        <v>2060</v>
      </c>
      <c r="I147" s="23"/>
    </row>
    <row r="148" spans="1:9" s="17" customFormat="1" ht="52.5" customHeight="1">
      <c r="A148" s="5">
        <v>2.5</v>
      </c>
      <c r="B148" s="6" t="s">
        <v>22</v>
      </c>
      <c r="C148" s="6" t="s">
        <v>10</v>
      </c>
      <c r="D148" s="19">
        <f>D149</f>
        <v>23000</v>
      </c>
      <c r="E148" s="7">
        <f>E149</f>
        <v>0</v>
      </c>
      <c r="F148" s="19">
        <f>F149</f>
        <v>20991</v>
      </c>
      <c r="G148" s="7">
        <f>G149</f>
        <v>0</v>
      </c>
      <c r="H148" s="25">
        <f t="shared" si="7"/>
        <v>2009</v>
      </c>
      <c r="I148" s="23"/>
    </row>
    <row r="149" spans="1:9" ht="16.5" customHeight="1">
      <c r="A149" s="5"/>
      <c r="B149" s="6" t="s">
        <v>140</v>
      </c>
      <c r="C149" s="6" t="s">
        <v>153</v>
      </c>
      <c r="D149" s="19">
        <f>3000+20000</f>
        <v>23000</v>
      </c>
      <c r="E149" s="7"/>
      <c r="F149" s="19">
        <f>20991</f>
        <v>20991</v>
      </c>
      <c r="G149" s="7"/>
      <c r="H149" s="25">
        <f t="shared" si="7"/>
        <v>2009</v>
      </c>
      <c r="I149" s="23"/>
    </row>
    <row r="150" spans="1:9" s="17" customFormat="1" ht="16.5" customHeight="1">
      <c r="A150" s="5">
        <v>2.66</v>
      </c>
      <c r="B150" s="6" t="s">
        <v>27</v>
      </c>
      <c r="C150" s="6" t="s">
        <v>43</v>
      </c>
      <c r="D150" s="19">
        <f>D151</f>
        <v>11000</v>
      </c>
      <c r="E150" s="7">
        <f>E151</f>
        <v>0</v>
      </c>
      <c r="F150" s="19">
        <f>F151</f>
        <v>10949</v>
      </c>
      <c r="G150" s="7">
        <f>G151</f>
        <v>0</v>
      </c>
      <c r="H150" s="25">
        <f t="shared" si="7"/>
        <v>51</v>
      </c>
      <c r="I150" s="23"/>
    </row>
    <row r="151" spans="1:9" ht="18" customHeight="1">
      <c r="A151" s="5"/>
      <c r="B151" s="6" t="s">
        <v>141</v>
      </c>
      <c r="C151" s="6" t="s">
        <v>153</v>
      </c>
      <c r="D151" s="19">
        <f>10000+1000</f>
        <v>11000</v>
      </c>
      <c r="E151" s="7"/>
      <c r="F151" s="19">
        <f>8640+1912+337+9+51</f>
        <v>10949</v>
      </c>
      <c r="G151" s="7"/>
      <c r="H151" s="25">
        <f t="shared" si="7"/>
        <v>51</v>
      </c>
      <c r="I151" s="23"/>
    </row>
    <row r="152" spans="1:9" ht="16.5" customHeight="1">
      <c r="A152" s="5"/>
      <c r="B152" s="11" t="s">
        <v>59</v>
      </c>
      <c r="C152" s="11" t="s">
        <v>75</v>
      </c>
      <c r="D152" s="20">
        <f>D153+D155</f>
        <v>43000</v>
      </c>
      <c r="E152" s="13">
        <f>E153+E155</f>
        <v>0</v>
      </c>
      <c r="F152" s="20">
        <f>F153+F155</f>
        <v>26948.47</v>
      </c>
      <c r="G152" s="13">
        <f>G153+G155</f>
        <v>0</v>
      </c>
      <c r="H152" s="25">
        <f t="shared" si="7"/>
        <v>16051.529999999999</v>
      </c>
      <c r="I152" s="23"/>
    </row>
    <row r="153" spans="1:9" s="17" customFormat="1" ht="60" customHeight="1">
      <c r="A153" s="5">
        <v>2.5</v>
      </c>
      <c r="B153" s="6" t="s">
        <v>22</v>
      </c>
      <c r="C153" s="6" t="s">
        <v>10</v>
      </c>
      <c r="D153" s="7">
        <f>D154</f>
        <v>40000</v>
      </c>
      <c r="E153" s="7">
        <f>E154</f>
        <v>0</v>
      </c>
      <c r="F153" s="19">
        <f>F154</f>
        <v>26695.07</v>
      </c>
      <c r="G153" s="7">
        <f>G154</f>
        <v>0</v>
      </c>
      <c r="H153" s="25">
        <f t="shared" si="7"/>
        <v>13304.93</v>
      </c>
      <c r="I153" s="23"/>
    </row>
    <row r="154" spans="1:9" ht="16.5" customHeight="1">
      <c r="A154" s="5"/>
      <c r="B154" s="6" t="s">
        <v>140</v>
      </c>
      <c r="C154" s="6" t="s">
        <v>153</v>
      </c>
      <c r="D154" s="29">
        <f>45000-5000</f>
        <v>40000</v>
      </c>
      <c r="E154" s="7"/>
      <c r="F154" s="19">
        <f>3953+500+2256.02+2245.25+10995+6745.8</f>
        <v>26695.07</v>
      </c>
      <c r="G154" s="7"/>
      <c r="H154" s="25">
        <f t="shared" si="7"/>
        <v>13304.93</v>
      </c>
      <c r="I154" s="23"/>
    </row>
    <row r="155" spans="1:9" s="17" customFormat="1" ht="17.25" customHeight="1">
      <c r="A155" s="5">
        <v>2.66</v>
      </c>
      <c r="B155" s="6" t="s">
        <v>27</v>
      </c>
      <c r="C155" s="6" t="s">
        <v>43</v>
      </c>
      <c r="D155" s="29">
        <f>D156</f>
        <v>3000</v>
      </c>
      <c r="E155" s="7">
        <f>E156</f>
        <v>0</v>
      </c>
      <c r="F155" s="19">
        <f>F156</f>
        <v>253.4</v>
      </c>
      <c r="G155" s="7">
        <f>G156</f>
        <v>0</v>
      </c>
      <c r="H155" s="25">
        <f t="shared" si="7"/>
        <v>2746.6</v>
      </c>
      <c r="I155" s="23"/>
    </row>
    <row r="156" spans="1:9" ht="15.75" customHeight="1">
      <c r="A156" s="5"/>
      <c r="B156" s="6" t="s">
        <v>141</v>
      </c>
      <c r="C156" s="6" t="s">
        <v>153</v>
      </c>
      <c r="D156" s="19">
        <f>4000-1000</f>
        <v>3000</v>
      </c>
      <c r="E156" s="7"/>
      <c r="F156" s="19">
        <v>253.4</v>
      </c>
      <c r="G156" s="7"/>
      <c r="H156" s="25">
        <f t="shared" si="7"/>
        <v>2746.6</v>
      </c>
      <c r="I156" s="23"/>
    </row>
    <row r="157" spans="1:9" ht="16.5" customHeight="1">
      <c r="A157" s="5"/>
      <c r="B157" s="11" t="s">
        <v>61</v>
      </c>
      <c r="C157" s="11" t="s">
        <v>76</v>
      </c>
      <c r="D157" s="13">
        <f aca="true" t="shared" si="8" ref="D157:G158">D158</f>
        <v>0</v>
      </c>
      <c r="E157" s="13">
        <f t="shared" si="8"/>
        <v>0</v>
      </c>
      <c r="F157" s="20">
        <f t="shared" si="8"/>
        <v>0</v>
      </c>
      <c r="G157" s="13">
        <f t="shared" si="8"/>
        <v>0</v>
      </c>
      <c r="H157" s="25">
        <f t="shared" si="7"/>
        <v>0</v>
      </c>
      <c r="I157" s="23"/>
    </row>
    <row r="158" spans="1:9" ht="15.75" customHeight="1">
      <c r="A158" s="5">
        <v>2.12</v>
      </c>
      <c r="B158" s="6" t="s">
        <v>5</v>
      </c>
      <c r="C158" s="6" t="s">
        <v>2</v>
      </c>
      <c r="D158" s="7">
        <f t="shared" si="8"/>
        <v>0</v>
      </c>
      <c r="E158" s="7">
        <f t="shared" si="8"/>
        <v>0</v>
      </c>
      <c r="F158" s="19">
        <f t="shared" si="8"/>
        <v>0</v>
      </c>
      <c r="G158" s="7">
        <f t="shared" si="8"/>
        <v>0</v>
      </c>
      <c r="H158" s="25">
        <f t="shared" si="7"/>
        <v>0</v>
      </c>
      <c r="I158" s="23"/>
    </row>
    <row r="159" spans="1:9" ht="18.75" customHeight="1">
      <c r="A159" s="5"/>
      <c r="B159" s="6" t="s">
        <v>142</v>
      </c>
      <c r="C159" s="6" t="s">
        <v>153</v>
      </c>
      <c r="D159" s="7"/>
      <c r="E159" s="7"/>
      <c r="F159" s="7"/>
      <c r="G159" s="7"/>
      <c r="H159" s="25">
        <f t="shared" si="7"/>
        <v>0</v>
      </c>
      <c r="I159" s="23"/>
    </row>
    <row r="160" spans="1:9" s="3" customFormat="1" ht="26.25" customHeight="1">
      <c r="A160" s="8" t="s">
        <v>23</v>
      </c>
      <c r="B160" s="9" t="s">
        <v>15</v>
      </c>
      <c r="C160" s="9" t="s">
        <v>9</v>
      </c>
      <c r="D160" s="21">
        <f>56447300+2246.7+25000+10000000+1629044+50000+849264-849264+817260+4200-D6</f>
        <v>-800000</v>
      </c>
      <c r="E160" s="21">
        <f>26979154.7+10000000-849264+817260</f>
        <v>36947150.7</v>
      </c>
      <c r="F160" s="21">
        <f>20393470.69-F6</f>
        <v>1874856.2500000037</v>
      </c>
      <c r="G160" s="21">
        <v>5104246.7</v>
      </c>
      <c r="H160" s="25">
        <f t="shared" si="7"/>
        <v>-2674856.2500000037</v>
      </c>
      <c r="I160" s="23"/>
    </row>
    <row r="161" spans="1:8" ht="12.75">
      <c r="A161" s="33" t="s">
        <v>34</v>
      </c>
      <c r="B161" s="34"/>
      <c r="C161" s="34"/>
      <c r="D161" s="1" t="s">
        <v>34</v>
      </c>
      <c r="H161" s="25"/>
    </row>
    <row r="162" spans="1:9" ht="15">
      <c r="A162" s="14"/>
      <c r="B162" t="s">
        <v>189</v>
      </c>
      <c r="D162" s="16"/>
      <c r="E162" t="s">
        <v>190</v>
      </c>
      <c r="H162" s="25"/>
      <c r="I162" t="s">
        <v>186</v>
      </c>
    </row>
    <row r="163" spans="1:8" ht="15">
      <c r="A163" s="14"/>
      <c r="D163" s="16"/>
      <c r="H163" s="25"/>
    </row>
    <row r="164" ht="12.75">
      <c r="H164" s="25"/>
    </row>
    <row r="165" spans="2:8" ht="12.75">
      <c r="B165" t="s">
        <v>80</v>
      </c>
      <c r="E165" s="22" t="s">
        <v>166</v>
      </c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</sheetData>
  <sheetProtection/>
  <mergeCells count="6">
    <mergeCell ref="A1:G1"/>
    <mergeCell ref="A3:G3"/>
    <mergeCell ref="A161:C161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2018-09-03T13:17:45Z</cp:lastPrinted>
  <dcterms:created xsi:type="dcterms:W3CDTF">2016-02-15T06:23:39Z</dcterms:created>
  <dcterms:modified xsi:type="dcterms:W3CDTF">2018-09-03T13:18:03Z</dcterms:modified>
  <cp:category/>
  <cp:version/>
  <cp:contentType/>
  <cp:contentStatus/>
</cp:coreProperties>
</file>