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<sst xmlns="http://schemas.openxmlformats.org/spreadsheetml/2006/main" count="317" uniqueCount="193">
  <si>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</si>
  <si>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</si>
  <si>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</si>
  <si>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</si>
  <si>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</si>
  <si>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</si>
  <si>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</si>
  <si>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</si>
  <si>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</si>
  <si>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</si>
  <si>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</si>
  <si>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</si>
  <si>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</si>
  <si>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</si>
  <si>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</si>
  <si>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</si>
  <si>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</si>
  <si>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</si>
  <si>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</si>
  <si>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</si>
  <si>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</si>
  <si>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</si>
  <si>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</si>
  <si>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</si>
  <si>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</si>
  <si>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</si>
  <si>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</si>
  <si>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</si>
  <si>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</si>
  <si>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</si>
  <si>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</si>
  <si>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</si>
  <si>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</si>
  <si>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</si>
  <si>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</si>
  <si>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</si>
  <si>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</si>
  <si>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</si>
  <si>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</si>
  <si>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</si>
  <si>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</si>
  <si>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</si>
  <si>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</si>
  <si>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</si>
  <si>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</si>
  <si>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</si>
  <si>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</si>
  <si>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</si>
  <si>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</si>
  <si>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</si>
  <si>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</si>
  <si>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</si>
  <si>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</si>
  <si>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</si>
  <si>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</si>
  <si>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</si>
  <si>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</si>
  <si>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</si>
  <si>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</si>
  <si>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</si>
  <si>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</si>
  <si>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</si>
  <si>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</si>
  <si>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</si>
  <si>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</si>
  <si>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</si>
  <si>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</si>
  <si>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</si>
  <si>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</si>
  <si>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</si>
  <si>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</si>
  <si>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</si>
  <si>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</si>
  <si>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</si>
  <si>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</si>
  <si>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</si>
  <si>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</si>
  <si>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</si>
  <si>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</si>
  <si>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</si>
  <si>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</si>
  <si>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</si>
  <si>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</si>
  <si>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</si>
  <si>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</si>
  <si>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</si>
  <si>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</si>
  <si>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</si>
  <si>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</si>
  <si>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</si>
  <si>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</si>
  <si>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</si>
  <si>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</si>
  <si>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</si>
  <si>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</si>
  <si>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</si>
  <si>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</si>
  <si>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</si>
  <si>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</si>
  <si>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</si>
  <si>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</si>
  <si>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</si>
  <si>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</si>
  <si>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</si>
  <si>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</si>
  <si>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</si>
  <si>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</si>
  <si>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</si>
  <si>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</si>
  <si>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</si>
  <si>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</si>
  <si>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</si>
  <si>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</si>
  <si>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</si>
  <si>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</si>
  <si>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</si>
  <si>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</si>
  <si>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</si>
  <si>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</si>
  <si>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</si>
  <si>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</si>
  <si>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</si>
  <si>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</si>
  <si>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</si>
  <si>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</si>
  <si>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</si>
  <si>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</si>
  <si>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</si>
  <si>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</si>
  <si>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</si>
  <si>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</si>
  <si>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</si>
  <si>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</si>
  <si>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</si>
  <si>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</si>
  <si>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</si>
  <si>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</si>
  <si>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</si>
  <si>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</si>
  <si>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</si>
  <si>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</si>
  <si>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</si>
  <si>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</si>
  <si>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</si>
  <si>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</si>
  <si>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</si>
  <si>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</si>
  <si>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</si>
  <si>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</si>
  <si>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</si>
  <si>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</si>
  <si>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</si>
  <si>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</si>
  <si>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</si>
  <si>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</si>
  <si>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</si>
  <si>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</si>
  <si>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</si>
  <si>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</si>
  <si>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</si>
  <si>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</si>
  <si>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</si>
  <si>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</si>
  <si>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</si>
  <si>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</si>
  <si>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</si>
  <si>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</si>
  <si>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</si>
  <si>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</si>
  <si>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</si>
  <si>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</si>
  <si>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</si>
  <si>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</si>
  <si>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</si>
  <si>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</si>
  <si>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</si>
  <si>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</si>
  <si>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</si>
  <si>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</si>
  <si>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</si>
  <si>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</si>
  <si>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</si>
  <si>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</si>
  <si>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</si>
  <si>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</si>
  <si>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</si>
  <si>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</si>
  <si>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</si>
  <si>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</si>
  <si>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</si>
  <si>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</si>
  <si>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</si>
  <si>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 xml:space="preserve">  на 01 мая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</si>
</sst>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zoomScalePageLayoutView="0" workbookViewId="0" topLeftCell="A1">
      <selection activeCell="G161" sqref="A1:G161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1" t="s">
        <v>29</v>
      </c>
      <c r="B1" s="31"/>
      <c r="C1" s="31"/>
      <c r="D1" s="31"/>
      <c r="E1" s="31"/>
      <c r="F1" s="31"/>
      <c r="G1" s="31"/>
    </row>
    <row r="2" spans="1:7" ht="12.75">
      <c r="A2" s="36" t="s">
        <v>79</v>
      </c>
      <c r="B2" s="36"/>
      <c r="C2" s="36"/>
      <c r="D2" s="36"/>
      <c r="E2" s="36"/>
      <c r="F2" s="36"/>
      <c r="G2" s="36"/>
    </row>
    <row r="3" spans="1:7" ht="12.75" customHeight="1">
      <c r="A3" s="31" t="s">
        <v>192</v>
      </c>
      <c r="B3" s="31"/>
      <c r="C3" s="31"/>
      <c r="D3" s="31"/>
      <c r="E3" s="31"/>
      <c r="F3" s="31"/>
      <c r="G3" s="31"/>
    </row>
    <row r="4" spans="1:7" ht="12.75">
      <c r="A4" s="32" t="s">
        <v>34</v>
      </c>
      <c r="B4" s="33"/>
      <c r="C4" s="34" t="s">
        <v>168</v>
      </c>
      <c r="D4" s="35"/>
      <c r="E4" s="35"/>
      <c r="F4" s="35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D7+D10+D13+D22+D31+D107+D110+D113+D116+D124+D128+D132+D136+D138+D143+D148+D153</f>
        <v>56447300</v>
      </c>
      <c r="E6" s="13">
        <f>E7+E10+E13+E22+E31+E107+E110+E113+E124+E128+E132+E138+E143+E148+E153+E116</f>
        <v>0</v>
      </c>
      <c r="F6" s="20">
        <f>F7+F10+F13+F22+F31+F107+F110+F113+F116+F124+F128+F132+F136+F138+F143+F148+F153</f>
        <v>6962107.81</v>
      </c>
      <c r="G6" s="13">
        <f>G7+G10+G13+G22+G31+G107+G110+G113+G124+G128+G132+G138+G143+G148+G153+G116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1176000</v>
      </c>
      <c r="E7" s="13">
        <f t="shared" si="0"/>
        <v>0</v>
      </c>
      <c r="F7" s="20">
        <f t="shared" si="0"/>
        <v>296559.19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1176000</v>
      </c>
      <c r="E8" s="7">
        <f t="shared" si="0"/>
        <v>0</v>
      </c>
      <c r="F8" s="19">
        <f>F9</f>
        <v>296559.19</v>
      </c>
      <c r="G8" s="7">
        <f t="shared" si="0"/>
        <v>0</v>
      </c>
      <c r="H8" s="25">
        <f>D8-F8</f>
        <v>879440.81</v>
      </c>
      <c r="I8" s="23"/>
    </row>
    <row r="9" spans="1:9" ht="15" customHeight="1">
      <c r="A9" s="5"/>
      <c r="B9" s="6" t="s">
        <v>82</v>
      </c>
      <c r="C9" s="6" t="s">
        <v>144</v>
      </c>
      <c r="D9" s="19">
        <v>1176000</v>
      </c>
      <c r="E9" s="7"/>
      <c r="F9" s="19">
        <f>192978+13088.5+52439.9+38052.79</f>
        <v>296559.19</v>
      </c>
      <c r="G9" s="7"/>
      <c r="H9" s="25">
        <f aca="true" t="shared" si="1" ref="H9:H72">D9-F9</f>
        <v>879440.81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355000</v>
      </c>
      <c r="E10" s="13">
        <f t="shared" si="2"/>
        <v>0</v>
      </c>
      <c r="F10" s="20">
        <f t="shared" si="2"/>
        <v>91945.39000000001</v>
      </c>
      <c r="G10" s="13">
        <f t="shared" si="2"/>
        <v>0</v>
      </c>
      <c r="H10" s="25">
        <f t="shared" si="1"/>
        <v>263054.61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355000</v>
      </c>
      <c r="E11" s="7">
        <f t="shared" si="2"/>
        <v>0</v>
      </c>
      <c r="F11" s="19">
        <f>F12</f>
        <v>91945.39000000001</v>
      </c>
      <c r="G11" s="7">
        <f t="shared" si="2"/>
        <v>0</v>
      </c>
      <c r="H11" s="25">
        <f t="shared" si="1"/>
        <v>263054.61</v>
      </c>
      <c r="I11" s="23"/>
    </row>
    <row r="12" spans="1:9" ht="17.25" customHeight="1">
      <c r="A12" s="5"/>
      <c r="B12" s="6" t="s">
        <v>83</v>
      </c>
      <c r="C12" s="6" t="s">
        <v>145</v>
      </c>
      <c r="D12" s="7">
        <v>355000</v>
      </c>
      <c r="E12" s="7"/>
      <c r="F12" s="19">
        <f>62490.47+25225.57+4229.35</f>
        <v>91945.39000000001</v>
      </c>
      <c r="G12" s="7"/>
      <c r="H12" s="25">
        <f t="shared" si="1"/>
        <v>263054.61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2881000</v>
      </c>
      <c r="E13" s="10">
        <f>E14+E16+E18+E20</f>
        <v>0</v>
      </c>
      <c r="F13" s="21">
        <f>F14+F16+F18+F20</f>
        <v>763258.38</v>
      </c>
      <c r="G13" s="10">
        <f>G14+G16+G18+G20</f>
        <v>0</v>
      </c>
      <c r="H13" s="25">
        <f t="shared" si="1"/>
        <v>2117741.62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2752000</v>
      </c>
      <c r="E18" s="7">
        <f>E19</f>
        <v>0</v>
      </c>
      <c r="F18" s="19">
        <f>F19</f>
        <v>726740.98</v>
      </c>
      <c r="G18" s="7">
        <f>G19</f>
        <v>0</v>
      </c>
      <c r="H18" s="25">
        <f t="shared" si="1"/>
        <v>2025259.02</v>
      </c>
      <c r="I18" s="23"/>
      <c r="IV18">
        <f>SUM(A18:IU18)</f>
        <v>5504002.5</v>
      </c>
    </row>
    <row r="19" spans="1:9" ht="18" customHeight="1">
      <c r="A19" s="5"/>
      <c r="B19" s="6" t="s">
        <v>86</v>
      </c>
      <c r="C19" s="6" t="s">
        <v>144</v>
      </c>
      <c r="D19" s="19">
        <f>2646000+106000</f>
        <v>2752000</v>
      </c>
      <c r="E19" s="7"/>
      <c r="F19" s="19">
        <f>386179.12+118689.31+6789.99+14781.48+65309.01+76256.32+9735.75+6700+7300+35000</f>
        <v>726740.98</v>
      </c>
      <c r="G19" s="7"/>
      <c r="H19" s="25">
        <f t="shared" si="1"/>
        <v>2025259.02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129000</v>
      </c>
      <c r="E20" s="7">
        <f>E21</f>
        <v>0</v>
      </c>
      <c r="F20" s="19">
        <f>F21</f>
        <v>36517.4</v>
      </c>
      <c r="G20" s="7">
        <f>G21</f>
        <v>0</v>
      </c>
      <c r="H20" s="25">
        <f t="shared" si="1"/>
        <v>92482.6</v>
      </c>
      <c r="I20" s="23"/>
    </row>
    <row r="21" spans="1:9" ht="18.75" customHeight="1">
      <c r="A21" s="5"/>
      <c r="B21" s="6" t="s">
        <v>87</v>
      </c>
      <c r="C21" s="6" t="s">
        <v>144</v>
      </c>
      <c r="D21" s="7">
        <v>129000</v>
      </c>
      <c r="E21" s="7"/>
      <c r="F21" s="19">
        <f>31517.4+5000</f>
        <v>36517.4</v>
      </c>
      <c r="G21" s="7"/>
      <c r="H21" s="25">
        <f t="shared" si="1"/>
        <v>92482.6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870000</v>
      </c>
      <c r="E22" s="13">
        <f>E23+E25+E27+E29</f>
        <v>0</v>
      </c>
      <c r="F22" s="20">
        <f>F23+F25+F27+F29</f>
        <v>212107.4</v>
      </c>
      <c r="G22" s="13">
        <f>G23+G25+G27+G29</f>
        <v>0</v>
      </c>
      <c r="H22" s="25">
        <f t="shared" si="1"/>
        <v>657892.6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831000</v>
      </c>
      <c r="E27" s="7">
        <f>E28</f>
        <v>0</v>
      </c>
      <c r="F27" s="19">
        <f>F28</f>
        <v>202624.8</v>
      </c>
      <c r="G27" s="7">
        <f>G28</f>
        <v>0</v>
      </c>
      <c r="H27" s="25">
        <f t="shared" si="1"/>
        <v>628375.2</v>
      </c>
      <c r="I27" s="23"/>
    </row>
    <row r="28" spans="1:9" ht="18" customHeight="1">
      <c r="A28" s="5"/>
      <c r="B28" s="6" t="s">
        <v>90</v>
      </c>
      <c r="C28" s="6" t="s">
        <v>145</v>
      </c>
      <c r="D28" s="19">
        <f>799000+32000</f>
        <v>831000</v>
      </c>
      <c r="E28" s="7"/>
      <c r="F28" s="19">
        <f>110712.41+30863.8+15431.9+45616.69</f>
        <v>202624.8</v>
      </c>
      <c r="G28" s="7"/>
      <c r="H28" s="25">
        <f t="shared" si="1"/>
        <v>628375.2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39000</v>
      </c>
      <c r="E29" s="7">
        <f>E30</f>
        <v>0</v>
      </c>
      <c r="F29" s="19">
        <f>F30</f>
        <v>9482.6</v>
      </c>
      <c r="G29" s="7">
        <f>G30</f>
        <v>0</v>
      </c>
      <c r="H29" s="25">
        <f t="shared" si="1"/>
        <v>29517.4</v>
      </c>
      <c r="I29" s="23"/>
    </row>
    <row r="30" spans="1:9" ht="18.75" customHeight="1">
      <c r="A30" s="5"/>
      <c r="B30" s="6" t="s">
        <v>91</v>
      </c>
      <c r="C30" s="6" t="s">
        <v>145</v>
      </c>
      <c r="D30" s="7">
        <v>39000</v>
      </c>
      <c r="E30" s="7"/>
      <c r="F30" s="19">
        <f>9482.6</f>
        <v>9482.6</v>
      </c>
      <c r="G30" s="7"/>
      <c r="H30" s="25">
        <f t="shared" si="1"/>
        <v>29517.4</v>
      </c>
      <c r="I30" s="23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D32+D37+D47+D55+D58+D63+D66+D70+D74+D81+D84+D89+D93+D102</f>
        <v>31829000</v>
      </c>
      <c r="E31" s="13">
        <f>E32+E37+E47+E55+E58+E63+E66+E70+E74+E81+E84+E89+E93+E102</f>
        <v>0</v>
      </c>
      <c r="F31" s="20">
        <f>F32+F37+F47+F55+F58+F63+F66+F70+F74+F81+F84+F89+F93+F102</f>
        <v>5280307.85</v>
      </c>
      <c r="G31" s="13">
        <f>G32+G37+G47+G55+G58+G63+G66+G70+G74+G81+G84+G89+G93+G102</f>
        <v>0</v>
      </c>
      <c r="H31" s="25">
        <f t="shared" si="1"/>
        <v>26548692.15</v>
      </c>
      <c r="I31" s="23"/>
    </row>
    <row r="32" spans="1:9" s="3" customFormat="1" ht="25.5" customHeight="1">
      <c r="A32" s="8">
        <v>2.4</v>
      </c>
      <c r="B32" s="9" t="s">
        <v>179</v>
      </c>
      <c r="C32" s="27" t="s">
        <v>184</v>
      </c>
      <c r="D32" s="10">
        <f>D33+D34+D35+D36</f>
        <v>0</v>
      </c>
      <c r="E32" s="10">
        <f>E33+E34+E35+E36</f>
        <v>0</v>
      </c>
      <c r="F32" s="21">
        <f>F33+F34+F35+F36</f>
        <v>0</v>
      </c>
      <c r="G32" s="10">
        <f>G33+G34+G35+G36</f>
        <v>0</v>
      </c>
      <c r="H32" s="25">
        <f t="shared" si="1"/>
        <v>0</v>
      </c>
      <c r="I32" s="23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19"/>
      <c r="G34" s="7"/>
      <c r="H34" s="25">
        <f t="shared" si="1"/>
        <v>0</v>
      </c>
      <c r="I34" s="23"/>
    </row>
    <row r="35" spans="1:9" ht="17.25" customHeight="1">
      <c r="A35" s="5"/>
      <c r="B35" s="6" t="s">
        <v>182</v>
      </c>
      <c r="C35" s="6" t="s">
        <v>148</v>
      </c>
      <c r="D35" s="19"/>
      <c r="E35" s="7"/>
      <c r="F35" s="19"/>
      <c r="G35" s="7"/>
      <c r="H35" s="25">
        <f t="shared" si="1"/>
        <v>0</v>
      </c>
      <c r="I35" s="23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19"/>
      <c r="G36" s="7"/>
      <c r="H36" s="25">
        <f t="shared" si="1"/>
        <v>0</v>
      </c>
      <c r="I36" s="23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2295000</v>
      </c>
      <c r="E37" s="10">
        <f>E38+E39+E40+E41+E42+E43+E45+E46</f>
        <v>0</v>
      </c>
      <c r="F37" s="21">
        <f>F38+F39+F40+F41+F42+F43+F45+F46+F44</f>
        <v>1343566.8499999999</v>
      </c>
      <c r="G37" s="10">
        <f>G38+G39+G40+G41+G42+G43+G45+G46</f>
        <v>0</v>
      </c>
      <c r="H37" s="25">
        <f t="shared" si="1"/>
        <v>951433.1500000001</v>
      </c>
      <c r="I37" s="23"/>
    </row>
    <row r="38" spans="1:9" ht="18" customHeight="1">
      <c r="A38" s="5"/>
      <c r="B38" s="6" t="s">
        <v>92</v>
      </c>
      <c r="C38" s="6" t="s">
        <v>146</v>
      </c>
      <c r="D38" s="19">
        <v>158000</v>
      </c>
      <c r="E38" s="7"/>
      <c r="F38" s="19">
        <f>348.58+10298.66+10922.48+63.27+12514.18+80.29+11015.07</f>
        <v>45242.53</v>
      </c>
      <c r="G38" s="7"/>
      <c r="H38" s="25">
        <f t="shared" si="1"/>
        <v>112757.47</v>
      </c>
      <c r="I38" s="23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7.25" customHeight="1">
      <c r="A40" s="5"/>
      <c r="B40" s="6" t="s">
        <v>94</v>
      </c>
      <c r="C40" s="6" t="s">
        <v>148</v>
      </c>
      <c r="D40" s="19">
        <v>587000</v>
      </c>
      <c r="E40" s="7"/>
      <c r="F40" s="19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</f>
        <v>337091.31000000006</v>
      </c>
      <c r="G40" s="7"/>
      <c r="H40" s="25">
        <f t="shared" si="1"/>
        <v>249908.68999999994</v>
      </c>
      <c r="I40" s="23"/>
    </row>
    <row r="41" spans="1:9" ht="17.25" customHeight="1">
      <c r="A41" s="5"/>
      <c r="B41" s="6" t="s">
        <v>125</v>
      </c>
      <c r="C41" s="6" t="s">
        <v>150</v>
      </c>
      <c r="D41" s="19"/>
      <c r="E41" s="7"/>
      <c r="F41" s="19"/>
      <c r="G41" s="7"/>
      <c r="H41" s="25">
        <f t="shared" si="1"/>
        <v>0</v>
      </c>
      <c r="I41" s="23"/>
    </row>
    <row r="42" spans="1:9" ht="16.5" customHeight="1">
      <c r="A42" s="5"/>
      <c r="B42" s="6" t="s">
        <v>95</v>
      </c>
      <c r="C42" s="6" t="s">
        <v>149</v>
      </c>
      <c r="D42" s="19">
        <v>677000</v>
      </c>
      <c r="E42" s="7"/>
      <c r="F42" s="19">
        <f>97865.36+2877.32+2607.71+143.11+1149.51+1112+500+1599+97913.99+94450.6+143.11+10005+2607.71+280374.9+2877.32+2979.9+6000+3110+2607.71+2877.32+388.44+7946.9+2979.9+6000+2877.32+2607.71+388.44</f>
        <v>636990.2799999998</v>
      </c>
      <c r="G42" s="7"/>
      <c r="H42" s="25">
        <f t="shared" si="1"/>
        <v>40009.720000000205</v>
      </c>
      <c r="I42" s="23"/>
    </row>
    <row r="43" spans="1:9" ht="16.5" customHeight="1">
      <c r="A43" s="5"/>
      <c r="B43" s="6" t="s">
        <v>96</v>
      </c>
      <c r="C43" s="6" t="s">
        <v>151</v>
      </c>
      <c r="D43" s="19">
        <f>231000-1000</f>
        <v>230000</v>
      </c>
      <c r="E43" s="7"/>
      <c r="F43" s="19">
        <f>6562+6758.39+2979.89+6000+5000+6758.39+2565+1665+25000+2482.59+2482.59+6758.39+5006+3050+864+765</f>
        <v>84697.23999999999</v>
      </c>
      <c r="G43" s="7"/>
      <c r="H43" s="25">
        <f t="shared" si="1"/>
        <v>145302.76</v>
      </c>
      <c r="I43" s="23"/>
    </row>
    <row r="44" spans="1:9" ht="16.5" customHeight="1">
      <c r="A44" s="5"/>
      <c r="B44" s="6" t="s">
        <v>141</v>
      </c>
      <c r="C44" s="6" t="s">
        <v>154</v>
      </c>
      <c r="D44" s="19">
        <f>1000</f>
        <v>1000</v>
      </c>
      <c r="E44" s="7"/>
      <c r="F44" s="19">
        <f>315</f>
        <v>315</v>
      </c>
      <c r="G44" s="7"/>
      <c r="H44" s="25">
        <f t="shared" si="1"/>
        <v>685</v>
      </c>
      <c r="I44" s="23"/>
    </row>
    <row r="45" spans="1:9" ht="16.5" customHeight="1">
      <c r="A45" s="5"/>
      <c r="B45" s="6" t="s">
        <v>126</v>
      </c>
      <c r="C45" s="6" t="s">
        <v>152</v>
      </c>
      <c r="D45" s="30">
        <v>100000</v>
      </c>
      <c r="E45" s="7"/>
      <c r="F45" s="19">
        <f>37210</f>
        <v>37210</v>
      </c>
      <c r="G45" s="7"/>
      <c r="H45" s="25">
        <f t="shared" si="1"/>
        <v>62790</v>
      </c>
      <c r="I45" s="23"/>
    </row>
    <row r="46" spans="1:9" ht="16.5" customHeight="1">
      <c r="A46" s="5"/>
      <c r="B46" s="6" t="s">
        <v>127</v>
      </c>
      <c r="C46" s="6" t="s">
        <v>153</v>
      </c>
      <c r="D46" s="19">
        <v>542000</v>
      </c>
      <c r="E46" s="7"/>
      <c r="F46" s="19">
        <f>9650+3356.5+7430+5100.64+38100+2566+814.74+5570.74+3528+40+3910+8927+1382+4704+4617.45+1640+6000+7004+529+939.56+1039+2937+2860.09+1095+9655+885+6625+4476.05+1427+1050+6001+7300+240+9900+2701+1040+5870+11239+200+9670.72</f>
        <v>202020.49</v>
      </c>
      <c r="G46" s="7"/>
      <c r="H46" s="25">
        <f t="shared" si="1"/>
        <v>339979.51</v>
      </c>
      <c r="I46" s="23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16100</v>
      </c>
      <c r="E47" s="10">
        <f>E48+E49+E50+E51+E52+E53+E54</f>
        <v>0</v>
      </c>
      <c r="F47" s="21">
        <f>F48+F49+F50+F51+F52+F53+F54</f>
        <v>5000</v>
      </c>
      <c r="G47" s="10">
        <f>G48+G49+G50+G51+G52+G53+G54</f>
        <v>0</v>
      </c>
      <c r="H47" s="25">
        <f t="shared" si="1"/>
        <v>11100</v>
      </c>
      <c r="I47" s="23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19"/>
      <c r="G48" s="7"/>
      <c r="H48" s="25">
        <f t="shared" si="1"/>
        <v>4000</v>
      </c>
      <c r="I48" s="23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19"/>
      <c r="G49" s="7"/>
      <c r="H49" s="25">
        <f t="shared" si="1"/>
        <v>0</v>
      </c>
      <c r="I49" s="23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19"/>
      <c r="G50" s="7"/>
      <c r="H50" s="25">
        <f t="shared" si="1"/>
        <v>0</v>
      </c>
      <c r="I50" s="23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19"/>
      <c r="G51" s="7"/>
      <c r="H51" s="25">
        <f t="shared" si="1"/>
        <v>0</v>
      </c>
      <c r="I51" s="23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19"/>
      <c r="G52" s="7"/>
      <c r="H52" s="25">
        <f t="shared" si="1"/>
        <v>0</v>
      </c>
      <c r="I52" s="23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19"/>
      <c r="G53" s="7"/>
      <c r="H53" s="25">
        <f t="shared" si="1"/>
        <v>0</v>
      </c>
      <c r="I53" s="23"/>
    </row>
    <row r="54" spans="1:9" ht="17.25" customHeight="1">
      <c r="A54" s="5"/>
      <c r="B54" s="6" t="s">
        <v>130</v>
      </c>
      <c r="C54" s="6" t="s">
        <v>153</v>
      </c>
      <c r="D54" s="7">
        <v>12100</v>
      </c>
      <c r="E54" s="7"/>
      <c r="F54" s="19">
        <f>5000</f>
        <v>5000</v>
      </c>
      <c r="G54" s="7"/>
      <c r="H54" s="25">
        <f t="shared" si="1"/>
        <v>7100</v>
      </c>
      <c r="I54" s="23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50000</v>
      </c>
      <c r="E55" s="10">
        <f>E56+E57</f>
        <v>0</v>
      </c>
      <c r="F55" s="21">
        <f>F56+F57</f>
        <v>0</v>
      </c>
      <c r="G55" s="10">
        <f>G56+G57</f>
        <v>0</v>
      </c>
      <c r="H55" s="25">
        <f t="shared" si="1"/>
        <v>50000</v>
      </c>
      <c r="I55" s="23"/>
    </row>
    <row r="56" spans="1:9" ht="16.5" customHeight="1">
      <c r="A56" s="5"/>
      <c r="B56" s="6" t="s">
        <v>97</v>
      </c>
      <c r="C56" s="6" t="s">
        <v>149</v>
      </c>
      <c r="D56" s="7">
        <v>50000</v>
      </c>
      <c r="E56" s="7"/>
      <c r="F56" s="19"/>
      <c r="G56" s="7"/>
      <c r="H56" s="25">
        <f t="shared" si="1"/>
        <v>50000</v>
      </c>
      <c r="I56" s="23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D59+D60+D62+D61</f>
        <v>7813500</v>
      </c>
      <c r="E58" s="10">
        <f>E60+E61</f>
        <v>0</v>
      </c>
      <c r="F58" s="21">
        <f>F59+F60+F61+F62</f>
        <v>0</v>
      </c>
      <c r="G58" s="10">
        <f>G60+G61</f>
        <v>0</v>
      </c>
      <c r="H58" s="25">
        <f t="shared" si="1"/>
        <v>7813500</v>
      </c>
      <c r="I58" s="23"/>
    </row>
    <row r="59" spans="1:9" s="3" customFormat="1" ht="20.25" customHeight="1">
      <c r="A59" s="8"/>
      <c r="B59" s="6" t="s">
        <v>177</v>
      </c>
      <c r="C59" s="6" t="s">
        <v>147</v>
      </c>
      <c r="D59" s="26"/>
      <c r="E59" s="10"/>
      <c r="F59" s="28"/>
      <c r="G59" s="10"/>
      <c r="H59" s="25">
        <f t="shared" si="1"/>
        <v>0</v>
      </c>
      <c r="I59" s="23"/>
    </row>
    <row r="60" spans="1:9" ht="18" customHeight="1">
      <c r="A60" s="5"/>
      <c r="B60" s="6" t="s">
        <v>103</v>
      </c>
      <c r="C60" s="6" t="s">
        <v>149</v>
      </c>
      <c r="D60" s="7">
        <f>1314000+170000+4799500-700000</f>
        <v>5583500</v>
      </c>
      <c r="E60" s="7"/>
      <c r="F60" s="19"/>
      <c r="G60" s="7"/>
      <c r="H60" s="25">
        <f t="shared" si="1"/>
        <v>5583500</v>
      </c>
      <c r="I60" s="23"/>
    </row>
    <row r="61" spans="1:9" ht="17.25" customHeight="1">
      <c r="A61" s="5"/>
      <c r="B61" s="6" t="s">
        <v>104</v>
      </c>
      <c r="C61" s="6" t="s">
        <v>151</v>
      </c>
      <c r="D61" s="30">
        <f>600000+1600000</f>
        <v>2200000</v>
      </c>
      <c r="E61" s="7"/>
      <c r="F61" s="19"/>
      <c r="G61" s="7"/>
      <c r="H61" s="25">
        <f t="shared" si="1"/>
        <v>2200000</v>
      </c>
      <c r="I61" s="23"/>
    </row>
    <row r="62" spans="1:9" ht="17.25" customHeight="1">
      <c r="A62" s="5"/>
      <c r="B62" s="6" t="s">
        <v>171</v>
      </c>
      <c r="C62" s="6" t="s">
        <v>153</v>
      </c>
      <c r="D62" s="19">
        <v>30000</v>
      </c>
      <c r="E62" s="7"/>
      <c r="F62" s="19"/>
      <c r="G62" s="7"/>
      <c r="H62" s="25">
        <f t="shared" si="1"/>
        <v>30000</v>
      </c>
      <c r="I62" s="23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183800</v>
      </c>
      <c r="E63" s="10">
        <f>E64</f>
        <v>0</v>
      </c>
      <c r="F63" s="21">
        <f>F65+F64</f>
        <v>173000</v>
      </c>
      <c r="G63" s="10">
        <f>G64</f>
        <v>0</v>
      </c>
      <c r="H63" s="25">
        <f t="shared" si="1"/>
        <v>10800</v>
      </c>
      <c r="I63" s="23"/>
    </row>
    <row r="64" spans="1:11" ht="19.5" customHeight="1">
      <c r="A64" s="5"/>
      <c r="B64" s="6" t="s">
        <v>176</v>
      </c>
      <c r="C64" s="6" t="s">
        <v>149</v>
      </c>
      <c r="D64" s="7">
        <v>10800</v>
      </c>
      <c r="E64" s="7"/>
      <c r="F64" s="19"/>
      <c r="G64" s="7"/>
      <c r="H64" s="25">
        <f t="shared" si="1"/>
        <v>10800</v>
      </c>
      <c r="I64" s="23"/>
      <c r="J64">
        <v>3576800</v>
      </c>
      <c r="K64" s="23">
        <f>F64</f>
        <v>0</v>
      </c>
    </row>
    <row r="65" spans="1:9" ht="19.5" customHeight="1">
      <c r="A65" s="5"/>
      <c r="B65" s="6" t="s">
        <v>178</v>
      </c>
      <c r="C65" s="6" t="s">
        <v>151</v>
      </c>
      <c r="D65" s="19">
        <f>77000+10000+66000+20000</f>
        <v>173000</v>
      </c>
      <c r="E65" s="7"/>
      <c r="F65" s="19">
        <f>12000+60000+15000+66000+20000</f>
        <v>173000</v>
      </c>
      <c r="G65" s="7"/>
      <c r="H65" s="25">
        <f t="shared" si="1"/>
        <v>0</v>
      </c>
      <c r="I65" s="23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252000</v>
      </c>
      <c r="E66" s="10">
        <f>E67+E68+E69</f>
        <v>0</v>
      </c>
      <c r="F66" s="21">
        <f>F67+F68+F69</f>
        <v>36135</v>
      </c>
      <c r="G66" s="10">
        <f>G67+G68+G69</f>
        <v>0</v>
      </c>
      <c r="H66" s="25">
        <f t="shared" si="1"/>
        <v>215865</v>
      </c>
      <c r="I66" s="23"/>
    </row>
    <row r="67" spans="1:9" ht="17.25" customHeight="1">
      <c r="A67" s="5"/>
      <c r="B67" s="6" t="s">
        <v>105</v>
      </c>
      <c r="C67" s="6" t="s">
        <v>149</v>
      </c>
      <c r="D67" s="7">
        <v>50000</v>
      </c>
      <c r="E67" s="7"/>
      <c r="F67" s="19"/>
      <c r="G67" s="7"/>
      <c r="H67" s="25">
        <f t="shared" si="1"/>
        <v>50000</v>
      </c>
      <c r="I67" s="23"/>
    </row>
    <row r="68" spans="1:11" ht="17.25" customHeight="1">
      <c r="A68" s="5"/>
      <c r="B68" s="6" t="s">
        <v>106</v>
      </c>
      <c r="C68" s="6" t="s">
        <v>151</v>
      </c>
      <c r="D68" s="7">
        <v>50000</v>
      </c>
      <c r="E68" s="7"/>
      <c r="F68" s="19"/>
      <c r="G68" s="7"/>
      <c r="H68" s="25">
        <f t="shared" si="1"/>
        <v>50000</v>
      </c>
      <c r="I68" s="23"/>
      <c r="K68" s="23"/>
    </row>
    <row r="69" spans="1:9" ht="18" customHeight="1">
      <c r="A69" s="5"/>
      <c r="B69" s="6" t="s">
        <v>131</v>
      </c>
      <c r="C69" s="6" t="s">
        <v>154</v>
      </c>
      <c r="D69" s="7">
        <v>152000</v>
      </c>
      <c r="E69" s="7"/>
      <c r="F69" s="19">
        <f>12045+12045+12045</f>
        <v>36135</v>
      </c>
      <c r="G69" s="7"/>
      <c r="H69" s="25">
        <f t="shared" si="1"/>
        <v>115865</v>
      </c>
      <c r="I69" s="23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867000</v>
      </c>
      <c r="E70" s="10">
        <f>E71+E72+E73</f>
        <v>0</v>
      </c>
      <c r="F70" s="21">
        <f>F71+F72+F73</f>
        <v>109325</v>
      </c>
      <c r="G70" s="10">
        <f>G71+G72+G73</f>
        <v>0</v>
      </c>
      <c r="H70" s="25">
        <f t="shared" si="1"/>
        <v>757675</v>
      </c>
      <c r="I70" s="23"/>
    </row>
    <row r="71" spans="1:9" ht="21" customHeight="1">
      <c r="A71" s="5"/>
      <c r="B71" s="6" t="s">
        <v>108</v>
      </c>
      <c r="C71" s="6" t="s">
        <v>149</v>
      </c>
      <c r="D71" s="19">
        <v>215000</v>
      </c>
      <c r="E71" s="7"/>
      <c r="F71" s="19">
        <f>62575</f>
        <v>62575</v>
      </c>
      <c r="G71" s="7"/>
      <c r="H71" s="25">
        <f t="shared" si="1"/>
        <v>152425</v>
      </c>
      <c r="I71" s="23"/>
    </row>
    <row r="72" spans="1:9" ht="18.75" customHeight="1">
      <c r="A72" s="5"/>
      <c r="B72" s="6" t="s">
        <v>109</v>
      </c>
      <c r="C72" s="6" t="s">
        <v>151</v>
      </c>
      <c r="D72" s="19">
        <f>1606000-66000-900000-138000</f>
        <v>502000</v>
      </c>
      <c r="E72" s="7"/>
      <c r="F72" s="19">
        <f>11850+4500+26400+4000</f>
        <v>46750</v>
      </c>
      <c r="G72" s="7"/>
      <c r="H72" s="25">
        <f t="shared" si="1"/>
        <v>455250</v>
      </c>
      <c r="I72" s="23"/>
    </row>
    <row r="73" spans="1:9" ht="18.75" customHeight="1">
      <c r="A73" s="5"/>
      <c r="B73" s="6" t="s">
        <v>132</v>
      </c>
      <c r="C73" s="6" t="s">
        <v>152</v>
      </c>
      <c r="D73" s="19">
        <v>150000</v>
      </c>
      <c r="E73" s="7"/>
      <c r="F73" s="19"/>
      <c r="G73" s="7"/>
      <c r="H73" s="25">
        <f aca="true" t="shared" si="3" ref="H73:H138">D73-F73</f>
        <v>150000</v>
      </c>
      <c r="I73" s="23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17851600</v>
      </c>
      <c r="E74" s="10">
        <f>E75+E76+E77+E78+E79+E80</f>
        <v>0</v>
      </c>
      <c r="F74" s="21">
        <f>F75+F76+F77+F78+F79+F80</f>
        <v>2795633.54</v>
      </c>
      <c r="G74" s="10">
        <f>G75+G76+G77+G78+G79+G80</f>
        <v>0</v>
      </c>
      <c r="H74" s="25">
        <f t="shared" si="3"/>
        <v>15055966.46</v>
      </c>
      <c r="I74" s="23"/>
    </row>
    <row r="75" spans="1:9" ht="20.25" customHeight="1">
      <c r="A75" s="5"/>
      <c r="B75" s="6" t="s">
        <v>133</v>
      </c>
      <c r="C75" s="6" t="s">
        <v>147</v>
      </c>
      <c r="D75" s="19">
        <f>10000+15000+25000</f>
        <v>50000</v>
      </c>
      <c r="E75" s="7"/>
      <c r="F75" s="19">
        <f>3300+7150+8800+3300</f>
        <v>22550</v>
      </c>
      <c r="G75" s="7"/>
      <c r="H75" s="25">
        <f t="shared" si="3"/>
        <v>27450</v>
      </c>
      <c r="I75" s="23"/>
    </row>
    <row r="76" spans="1:9" ht="18.75" customHeight="1">
      <c r="A76" s="5"/>
      <c r="B76" s="6" t="s">
        <v>111</v>
      </c>
      <c r="C76" s="6" t="s">
        <v>148</v>
      </c>
      <c r="D76" s="19">
        <f>3251000-40000</f>
        <v>3211000</v>
      </c>
      <c r="E76" s="7"/>
      <c r="F76" s="19">
        <f>101988.56+134975.47+152841.22+100884.01+89169.75+143488.92+102621.15+118109.52+146731.02+105049.13+11332.43+102843.12</f>
        <v>1310034.2999999998</v>
      </c>
      <c r="G76" s="7"/>
      <c r="H76" s="25">
        <f t="shared" si="3"/>
        <v>1900965.7000000002</v>
      </c>
      <c r="I76" s="23"/>
    </row>
    <row r="77" spans="1:9" ht="17.25" customHeight="1">
      <c r="A77" s="5"/>
      <c r="B77" s="6" t="s">
        <v>110</v>
      </c>
      <c r="C77" s="6" t="s">
        <v>149</v>
      </c>
      <c r="D77" s="19">
        <f>3844000-20000-20000-197000-100000+10605600-120000</f>
        <v>13992600</v>
      </c>
      <c r="E77" s="7"/>
      <c r="F77" s="19">
        <f>12006+35000+288011+7000+17131.55+2500+56746+10005+77346+3476.19+175947+5465.3+1000+105060+29014+55748+59895</f>
        <v>941351.04</v>
      </c>
      <c r="G77" s="7"/>
      <c r="H77" s="25">
        <f t="shared" si="3"/>
        <v>13051248.96</v>
      </c>
      <c r="I77" s="23"/>
    </row>
    <row r="78" spans="1:9" ht="20.25" customHeight="1">
      <c r="A78" s="5"/>
      <c r="B78" s="6" t="s">
        <v>112</v>
      </c>
      <c r="C78" s="6" t="s">
        <v>151</v>
      </c>
      <c r="D78" s="19">
        <f>18000+10000+100000+75000+85000</f>
        <v>288000</v>
      </c>
      <c r="E78" s="7"/>
      <c r="F78" s="19">
        <f>1269.84+2540+20010+20010+35000+9442+12140.11+20593.05+20948.76+31964+48880.44+3502+19200+20000+20000</f>
        <v>285500.2</v>
      </c>
      <c r="G78" s="7"/>
      <c r="H78" s="25">
        <f t="shared" si="3"/>
        <v>2499.7999999999884</v>
      </c>
      <c r="I78" s="23"/>
    </row>
    <row r="79" spans="1:9" ht="20.25" customHeight="1">
      <c r="A79" s="5"/>
      <c r="B79" s="6" t="s">
        <v>134</v>
      </c>
      <c r="C79" s="6" t="s">
        <v>152</v>
      </c>
      <c r="D79" s="19">
        <v>70000</v>
      </c>
      <c r="E79" s="7"/>
      <c r="F79" s="19"/>
      <c r="G79" s="7"/>
      <c r="H79" s="25">
        <f t="shared" si="3"/>
        <v>70000</v>
      </c>
      <c r="I79" s="23"/>
    </row>
    <row r="80" spans="1:9" ht="20.25" customHeight="1">
      <c r="A80" s="5"/>
      <c r="B80" s="6" t="s">
        <v>135</v>
      </c>
      <c r="C80" s="6" t="s">
        <v>153</v>
      </c>
      <c r="D80" s="19">
        <f>150000+50000+40000</f>
        <v>240000</v>
      </c>
      <c r="E80" s="7"/>
      <c r="F80" s="19">
        <f>98000+31732+23100+29466+53900</f>
        <v>236198</v>
      </c>
      <c r="G80" s="7"/>
      <c r="H80" s="25">
        <f t="shared" si="3"/>
        <v>3802</v>
      </c>
      <c r="I80" s="23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21">
        <f>D82+D83</f>
        <v>0</v>
      </c>
      <c r="E81" s="10">
        <f>E82+E83</f>
        <v>0</v>
      </c>
      <c r="F81" s="21">
        <f>F82+F83</f>
        <v>0</v>
      </c>
      <c r="G81" s="10">
        <f>G82+G83</f>
        <v>0</v>
      </c>
      <c r="H81" s="25">
        <f t="shared" si="3"/>
        <v>0</v>
      </c>
      <c r="I81" s="23"/>
    </row>
    <row r="82" spans="1:9" ht="17.25" customHeight="1">
      <c r="A82" s="5"/>
      <c r="B82" s="6" t="s">
        <v>113</v>
      </c>
      <c r="C82" s="6" t="s">
        <v>149</v>
      </c>
      <c r="D82" s="19">
        <f>20000-20000</f>
        <v>0</v>
      </c>
      <c r="E82" s="7"/>
      <c r="F82" s="19">
        <f>17345.29-17345.29</f>
        <v>0</v>
      </c>
      <c r="G82" s="7"/>
      <c r="H82" s="25">
        <f t="shared" si="3"/>
        <v>0</v>
      </c>
      <c r="I82" s="23"/>
    </row>
    <row r="83" spans="1:9" ht="17.25" customHeight="1">
      <c r="A83" s="5"/>
      <c r="B83" s="6" t="s">
        <v>114</v>
      </c>
      <c r="C83" s="6" t="s">
        <v>151</v>
      </c>
      <c r="D83" s="29">
        <f>45000-20000-25000</f>
        <v>0</v>
      </c>
      <c r="E83" s="7"/>
      <c r="F83" s="19">
        <f>27708+64652+12000+10000+15000-129360</f>
        <v>0</v>
      </c>
      <c r="G83" s="7"/>
      <c r="H83" s="25">
        <f t="shared" si="3"/>
        <v>0</v>
      </c>
      <c r="I83" s="23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5">
        <f t="shared" si="3"/>
        <v>0</v>
      </c>
      <c r="I84" s="23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19"/>
      <c r="G85" s="7"/>
      <c r="H85" s="25">
        <f t="shared" si="3"/>
        <v>0</v>
      </c>
      <c r="I85" s="23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19"/>
      <c r="G86" s="7"/>
      <c r="H86" s="25">
        <f t="shared" si="3"/>
        <v>0</v>
      </c>
      <c r="I86" s="23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19"/>
      <c r="G87" s="7"/>
      <c r="H87" s="25">
        <f t="shared" si="3"/>
        <v>0</v>
      </c>
      <c r="I87" s="23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19"/>
      <c r="G88" s="7"/>
      <c r="H88" s="25">
        <f t="shared" si="3"/>
        <v>0</v>
      </c>
      <c r="I88" s="23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5">
        <f t="shared" si="3"/>
        <v>0</v>
      </c>
      <c r="I89" s="23"/>
      <c r="J89" s="24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19"/>
      <c r="G90" s="7"/>
      <c r="H90" s="25">
        <f t="shared" si="3"/>
        <v>0</v>
      </c>
      <c r="I90" s="23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19"/>
      <c r="G91" s="7"/>
      <c r="H91" s="25">
        <f t="shared" si="3"/>
        <v>0</v>
      </c>
      <c r="I91" s="23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D94+D96+D97+D98+D100+D101+D99+D95</f>
        <v>2400000</v>
      </c>
      <c r="E93" s="10">
        <f>E94+E96+E97+E98+E100+E101</f>
        <v>0</v>
      </c>
      <c r="F93" s="21">
        <f>F94+F96+F97+F98+F100+F101+F99+F95</f>
        <v>793247.46</v>
      </c>
      <c r="G93" s="10">
        <f>G94+G96+G97+G98+G100+G101</f>
        <v>0</v>
      </c>
      <c r="H93" s="25">
        <f t="shared" si="3"/>
        <v>1606752.54</v>
      </c>
      <c r="I93" s="23"/>
      <c r="J93" s="24"/>
    </row>
    <row r="94" spans="1:9" ht="18" customHeight="1">
      <c r="A94" s="5"/>
      <c r="B94" s="6" t="s">
        <v>119</v>
      </c>
      <c r="C94" s="6" t="s">
        <v>146</v>
      </c>
      <c r="D94" s="19">
        <v>54000</v>
      </c>
      <c r="E94" s="7"/>
      <c r="F94" s="19">
        <f>5149.32+4346.13+2777.39+3497.47</f>
        <v>15770.31</v>
      </c>
      <c r="G94" s="7"/>
      <c r="H94" s="25">
        <f t="shared" si="3"/>
        <v>38229.69</v>
      </c>
      <c r="I94" s="23"/>
    </row>
    <row r="95" spans="1:9" ht="18" customHeight="1">
      <c r="A95" s="5"/>
      <c r="B95" s="6" t="s">
        <v>190</v>
      </c>
      <c r="C95" s="6" t="s">
        <v>147</v>
      </c>
      <c r="D95" s="19"/>
      <c r="E95" s="7"/>
      <c r="F95" s="19"/>
      <c r="G95" s="7"/>
      <c r="H95" s="25">
        <f t="shared" si="3"/>
        <v>0</v>
      </c>
      <c r="I95" s="23"/>
    </row>
    <row r="96" spans="1:9" ht="18" customHeight="1">
      <c r="A96" s="5"/>
      <c r="B96" s="6" t="s">
        <v>120</v>
      </c>
      <c r="C96" s="6" t="s">
        <v>148</v>
      </c>
      <c r="D96" s="19">
        <v>919000</v>
      </c>
      <c r="E96" s="7"/>
      <c r="F96" s="19">
        <f>10000+9539.71+10000+577.28+72547.11+216+15000+297+793.76+16279+10000+89633.26+10000+938.08+351+936.22+10000+10000+5396.55+10000+83541.19+87269.93</f>
        <v>453316.08999999997</v>
      </c>
      <c r="G96" s="7"/>
      <c r="H96" s="25">
        <f t="shared" si="3"/>
        <v>465683.91000000003</v>
      </c>
      <c r="I96" s="23"/>
    </row>
    <row r="97" spans="1:9" ht="20.25" customHeight="1">
      <c r="A97" s="5"/>
      <c r="B97" s="6" t="s">
        <v>121</v>
      </c>
      <c r="C97" s="6" t="s">
        <v>149</v>
      </c>
      <c r="D97" s="19">
        <v>458000</v>
      </c>
      <c r="E97" s="7"/>
      <c r="F97" s="19">
        <f>1124.42+2500+1124.42+20646+4798.62+9664+0.6+4832+4832+1252.2+2500+2500+4798.62+4798.62+9664+7600+1252.2+950.49+950.49+2500+950.49</f>
        <v>89239.17000000001</v>
      </c>
      <c r="G97" s="7"/>
      <c r="H97" s="25">
        <f t="shared" si="3"/>
        <v>368760.82999999996</v>
      </c>
      <c r="I97" s="23"/>
    </row>
    <row r="98" spans="1:9" ht="19.5" customHeight="1">
      <c r="A98" s="5"/>
      <c r="B98" s="6" t="s">
        <v>122</v>
      </c>
      <c r="C98" s="6" t="s">
        <v>151</v>
      </c>
      <c r="D98" s="19">
        <v>692000</v>
      </c>
      <c r="E98" s="7"/>
      <c r="F98" s="19">
        <f>950.49+17426.78+35092+6524+6524+6524+6524+5685+8000+15775.84+17426.78+35092</f>
        <v>161544.89</v>
      </c>
      <c r="G98" s="7"/>
      <c r="H98" s="25">
        <f t="shared" si="3"/>
        <v>530455.11</v>
      </c>
      <c r="I98" s="23"/>
    </row>
    <row r="99" spans="1:9" ht="19.5" customHeight="1">
      <c r="A99" s="5"/>
      <c r="B99" s="6" t="s">
        <v>142</v>
      </c>
      <c r="C99" s="6" t="s">
        <v>154</v>
      </c>
      <c r="D99" s="19">
        <v>20000</v>
      </c>
      <c r="E99" s="7"/>
      <c r="F99" s="19"/>
      <c r="G99" s="7"/>
      <c r="H99" s="25">
        <f t="shared" si="3"/>
        <v>20000</v>
      </c>
      <c r="I99" s="23"/>
    </row>
    <row r="100" spans="1:9" ht="18.75" customHeight="1">
      <c r="A100" s="5"/>
      <c r="B100" s="6" t="s">
        <v>123</v>
      </c>
      <c r="C100" s="6" t="s">
        <v>152</v>
      </c>
      <c r="D100" s="19">
        <v>62000</v>
      </c>
      <c r="E100" s="7"/>
      <c r="F100" s="19">
        <f>41730+5005+6900</f>
        <v>53635</v>
      </c>
      <c r="G100" s="7"/>
      <c r="H100" s="25">
        <f t="shared" si="3"/>
        <v>8365</v>
      </c>
      <c r="I100" s="23"/>
    </row>
    <row r="101" spans="1:9" ht="18.75" customHeight="1">
      <c r="A101" s="5"/>
      <c r="B101" s="6" t="s">
        <v>124</v>
      </c>
      <c r="C101" s="6" t="s">
        <v>153</v>
      </c>
      <c r="D101" s="19">
        <v>195000</v>
      </c>
      <c r="E101" s="7"/>
      <c r="F101" s="19">
        <f>474+316+1500+10000+2887+2145+695+1039+686</f>
        <v>19742</v>
      </c>
      <c r="G101" s="7"/>
      <c r="H101" s="25">
        <f t="shared" si="3"/>
        <v>175258</v>
      </c>
      <c r="I101" s="23"/>
    </row>
    <row r="102" spans="1:9" s="3" customFormat="1" ht="25.5" customHeight="1">
      <c r="A102" s="8">
        <v>2.86</v>
      </c>
      <c r="B102" s="9" t="s">
        <v>24</v>
      </c>
      <c r="C102" s="9" t="s">
        <v>40</v>
      </c>
      <c r="D102" s="21">
        <f>D103+D104+D105+D106</f>
        <v>100000</v>
      </c>
      <c r="E102" s="10">
        <f>E104</f>
        <v>0</v>
      </c>
      <c r="F102" s="21">
        <f>F103+F105+F106+F104</f>
        <v>24400</v>
      </c>
      <c r="G102" s="10">
        <f>G104</f>
        <v>0</v>
      </c>
      <c r="H102" s="25">
        <f t="shared" si="3"/>
        <v>75600</v>
      </c>
      <c r="I102" s="23"/>
    </row>
    <row r="103" spans="1:9" s="3" customFormat="1" ht="25.5" customHeight="1">
      <c r="A103" s="8"/>
      <c r="B103" s="6" t="s">
        <v>185</v>
      </c>
      <c r="C103" s="6" t="s">
        <v>147</v>
      </c>
      <c r="D103" s="28"/>
      <c r="E103" s="10"/>
      <c r="F103" s="28"/>
      <c r="G103" s="10"/>
      <c r="H103" s="25">
        <f t="shared" si="3"/>
        <v>0</v>
      </c>
      <c r="I103" s="23"/>
    </row>
    <row r="104" spans="1:9" ht="18" customHeight="1">
      <c r="A104" s="5"/>
      <c r="B104" s="6" t="s">
        <v>136</v>
      </c>
      <c r="C104" s="6" t="s">
        <v>151</v>
      </c>
      <c r="D104" s="19">
        <f>50000-30000</f>
        <v>20000</v>
      </c>
      <c r="E104" s="7"/>
      <c r="F104" s="19"/>
      <c r="G104" s="7"/>
      <c r="H104" s="25">
        <f t="shared" si="3"/>
        <v>20000</v>
      </c>
      <c r="I104" s="23"/>
    </row>
    <row r="105" spans="1:9" ht="18" customHeight="1">
      <c r="A105" s="5"/>
      <c r="B105" s="6" t="s">
        <v>186</v>
      </c>
      <c r="C105" s="6" t="s">
        <v>152</v>
      </c>
      <c r="D105" s="19">
        <v>50000</v>
      </c>
      <c r="E105" s="7"/>
      <c r="F105" s="19"/>
      <c r="G105" s="7"/>
      <c r="H105" s="25">
        <f t="shared" si="3"/>
        <v>50000</v>
      </c>
      <c r="I105" s="23"/>
    </row>
    <row r="106" spans="1:9" ht="18" customHeight="1">
      <c r="A106" s="5"/>
      <c r="B106" s="6" t="s">
        <v>191</v>
      </c>
      <c r="C106" s="6" t="s">
        <v>153</v>
      </c>
      <c r="D106" s="19">
        <f>30000</f>
        <v>30000</v>
      </c>
      <c r="E106" s="7"/>
      <c r="F106" s="19">
        <f>21970+2430</f>
        <v>24400</v>
      </c>
      <c r="G106" s="7"/>
      <c r="H106" s="25">
        <f t="shared" si="3"/>
        <v>5600</v>
      </c>
      <c r="I106" s="23"/>
    </row>
    <row r="107" spans="1:9" ht="25.5" customHeight="1">
      <c r="A107" s="5"/>
      <c r="B107" s="11" t="s">
        <v>53</v>
      </c>
      <c r="C107" s="11" t="s">
        <v>67</v>
      </c>
      <c r="D107" s="13">
        <f aca="true" t="shared" si="4" ref="D107:G108">D108</f>
        <v>180000</v>
      </c>
      <c r="E107" s="13">
        <f t="shared" si="4"/>
        <v>0</v>
      </c>
      <c r="F107" s="20">
        <f t="shared" si="4"/>
        <v>59794.200000000004</v>
      </c>
      <c r="G107" s="13">
        <f t="shared" si="4"/>
        <v>0</v>
      </c>
      <c r="H107" s="25">
        <f t="shared" si="3"/>
        <v>120205.79999999999</v>
      </c>
      <c r="I107" s="23"/>
    </row>
    <row r="108" spans="1:9" s="17" customFormat="1" ht="19.5" customHeight="1">
      <c r="A108" s="5">
        <v>2.79</v>
      </c>
      <c r="B108" s="6" t="s">
        <v>31</v>
      </c>
      <c r="C108" s="6" t="s">
        <v>34</v>
      </c>
      <c r="D108" s="7">
        <f>D109</f>
        <v>180000</v>
      </c>
      <c r="E108" s="7">
        <f t="shared" si="4"/>
        <v>0</v>
      </c>
      <c r="F108" s="19">
        <f>F109</f>
        <v>59794.200000000004</v>
      </c>
      <c r="G108" s="7">
        <f t="shared" si="4"/>
        <v>0</v>
      </c>
      <c r="H108" s="25">
        <f t="shared" si="3"/>
        <v>120205.79999999999</v>
      </c>
      <c r="I108" s="23"/>
    </row>
    <row r="109" spans="1:9" ht="36.75" customHeight="1">
      <c r="A109" s="5"/>
      <c r="B109" s="6" t="s">
        <v>137</v>
      </c>
      <c r="C109" s="6" t="s">
        <v>155</v>
      </c>
      <c r="D109" s="19">
        <v>180000</v>
      </c>
      <c r="E109" s="7"/>
      <c r="F109" s="19">
        <f>44845.5+4982.9+4982.9+4982.9</f>
        <v>59794.200000000004</v>
      </c>
      <c r="G109" s="7"/>
      <c r="H109" s="25">
        <f t="shared" si="3"/>
        <v>120205.79999999999</v>
      </c>
      <c r="I109" s="23"/>
    </row>
    <row r="110" spans="1:9" ht="18.75" customHeight="1">
      <c r="A110" s="5"/>
      <c r="B110" s="11" t="s">
        <v>187</v>
      </c>
      <c r="C110" s="11" t="s">
        <v>68</v>
      </c>
      <c r="D110" s="13">
        <f aca="true" t="shared" si="5" ref="D110:G111">D111</f>
        <v>30000</v>
      </c>
      <c r="E110" s="13">
        <f t="shared" si="5"/>
        <v>0</v>
      </c>
      <c r="F110" s="20">
        <f t="shared" si="5"/>
        <v>20000</v>
      </c>
      <c r="G110" s="13">
        <f t="shared" si="5"/>
        <v>0</v>
      </c>
      <c r="H110" s="25">
        <f t="shared" si="3"/>
        <v>10000</v>
      </c>
      <c r="I110" s="23"/>
    </row>
    <row r="111" spans="1:9" s="17" customFormat="1" ht="17.25" customHeight="1">
      <c r="A111" s="5">
        <v>2.81</v>
      </c>
      <c r="B111" s="6" t="s">
        <v>6</v>
      </c>
      <c r="C111" s="6" t="s">
        <v>13</v>
      </c>
      <c r="D111" s="7">
        <f>D112</f>
        <v>30000</v>
      </c>
      <c r="E111" s="7">
        <f t="shared" si="5"/>
        <v>0</v>
      </c>
      <c r="F111" s="19">
        <f>F112</f>
        <v>20000</v>
      </c>
      <c r="G111" s="7">
        <f t="shared" si="5"/>
        <v>0</v>
      </c>
      <c r="H111" s="25">
        <f t="shared" si="3"/>
        <v>10000</v>
      </c>
      <c r="I111" s="23"/>
    </row>
    <row r="112" spans="1:9" ht="16.5" customHeight="1">
      <c r="A112" s="5"/>
      <c r="B112" s="6" t="s">
        <v>188</v>
      </c>
      <c r="C112" s="6" t="s">
        <v>156</v>
      </c>
      <c r="D112" s="19">
        <v>30000</v>
      </c>
      <c r="E112" s="7"/>
      <c r="F112" s="19">
        <v>20000</v>
      </c>
      <c r="G112" s="7"/>
      <c r="H112" s="25">
        <f t="shared" si="3"/>
        <v>10000</v>
      </c>
      <c r="I112" s="23"/>
    </row>
    <row r="113" spans="1:9" ht="48.75" customHeight="1">
      <c r="A113" s="5"/>
      <c r="B113" s="11" t="s">
        <v>54</v>
      </c>
      <c r="C113" s="11" t="s">
        <v>69</v>
      </c>
      <c r="D113" s="13">
        <f aca="true" t="shared" si="6" ref="D113:G114">D114</f>
        <v>0</v>
      </c>
      <c r="E113" s="13">
        <f t="shared" si="6"/>
        <v>0</v>
      </c>
      <c r="F113" s="20">
        <f t="shared" si="6"/>
        <v>0</v>
      </c>
      <c r="G113" s="13">
        <f t="shared" si="6"/>
        <v>0</v>
      </c>
      <c r="H113" s="25">
        <f t="shared" si="3"/>
        <v>0</v>
      </c>
      <c r="I113" s="23"/>
    </row>
    <row r="114" spans="1:9" s="17" customFormat="1" ht="15.75" customHeight="1">
      <c r="A114" s="5">
        <v>2.48</v>
      </c>
      <c r="B114" s="6" t="s">
        <v>4</v>
      </c>
      <c r="C114" s="6" t="s">
        <v>16</v>
      </c>
      <c r="D114" s="7">
        <f t="shared" si="6"/>
        <v>0</v>
      </c>
      <c r="E114" s="7">
        <f t="shared" si="6"/>
        <v>0</v>
      </c>
      <c r="F114" s="19">
        <f t="shared" si="6"/>
        <v>0</v>
      </c>
      <c r="G114" s="7">
        <f t="shared" si="6"/>
        <v>0</v>
      </c>
      <c r="H114" s="25">
        <f t="shared" si="3"/>
        <v>0</v>
      </c>
      <c r="I114" s="23"/>
    </row>
    <row r="115" spans="1:9" ht="18" customHeight="1">
      <c r="A115" s="5"/>
      <c r="B115" s="6" t="s">
        <v>138</v>
      </c>
      <c r="C115" s="6" t="s">
        <v>152</v>
      </c>
      <c r="D115" s="7"/>
      <c r="E115" s="7"/>
      <c r="F115" s="19"/>
      <c r="G115" s="7"/>
      <c r="H115" s="25">
        <f t="shared" si="3"/>
        <v>0</v>
      </c>
      <c r="I115" s="23"/>
    </row>
    <row r="116" spans="1:9" ht="49.5" customHeight="1">
      <c r="A116" s="5"/>
      <c r="B116" s="11" t="s">
        <v>160</v>
      </c>
      <c r="C116" s="11" t="s">
        <v>161</v>
      </c>
      <c r="D116" s="13">
        <f>D119</f>
        <v>18904300</v>
      </c>
      <c r="E116" s="13">
        <f>E117+E119</f>
        <v>0</v>
      </c>
      <c r="F116" s="20">
        <f>F119</f>
        <v>81200</v>
      </c>
      <c r="G116" s="13">
        <f>G117+G119</f>
        <v>0</v>
      </c>
      <c r="H116" s="25">
        <f t="shared" si="3"/>
        <v>18823100</v>
      </c>
      <c r="I116" s="23"/>
    </row>
    <row r="117" spans="1:9" ht="18" customHeight="1">
      <c r="A117" s="5">
        <v>2.48</v>
      </c>
      <c r="B117" s="6" t="s">
        <v>4</v>
      </c>
      <c r="C117" s="6" t="s">
        <v>16</v>
      </c>
      <c r="D117" s="7">
        <f>D118</f>
        <v>0</v>
      </c>
      <c r="E117" s="7">
        <f>E118</f>
        <v>0</v>
      </c>
      <c r="F117" s="19"/>
      <c r="G117" s="7">
        <f>G118</f>
        <v>0</v>
      </c>
      <c r="H117" s="25">
        <f t="shared" si="3"/>
        <v>0</v>
      </c>
      <c r="I117" s="23"/>
    </row>
    <row r="118" spans="1:9" ht="18" customHeight="1">
      <c r="A118" s="5"/>
      <c r="B118" s="6" t="s">
        <v>138</v>
      </c>
      <c r="C118" s="6" t="s">
        <v>152</v>
      </c>
      <c r="D118" s="19"/>
      <c r="E118" s="7"/>
      <c r="F118" s="19"/>
      <c r="G118" s="7"/>
      <c r="H118" s="25">
        <f t="shared" si="3"/>
        <v>0</v>
      </c>
      <c r="I118" s="23"/>
    </row>
    <row r="119" spans="1:9" ht="23.25" customHeight="1">
      <c r="A119" s="5"/>
      <c r="B119" s="6" t="s">
        <v>8</v>
      </c>
      <c r="C119" s="18" t="s">
        <v>26</v>
      </c>
      <c r="D119" s="19">
        <f>D120+D121+D122</f>
        <v>18904300</v>
      </c>
      <c r="E119" s="7">
        <f>E121</f>
        <v>0</v>
      </c>
      <c r="F119" s="19">
        <f>F120+F121+F122</f>
        <v>81200</v>
      </c>
      <c r="G119" s="7">
        <f>G121</f>
        <v>0</v>
      </c>
      <c r="H119" s="25">
        <f t="shared" si="3"/>
        <v>18823100</v>
      </c>
      <c r="I119" s="23"/>
    </row>
    <row r="120" spans="1:9" ht="23.25" customHeight="1">
      <c r="A120" s="5"/>
      <c r="B120" s="6" t="s">
        <v>113</v>
      </c>
      <c r="C120" s="6" t="s">
        <v>149</v>
      </c>
      <c r="D120" s="19"/>
      <c r="E120" s="7"/>
      <c r="F120" s="19"/>
      <c r="G120" s="7"/>
      <c r="H120" s="25"/>
      <c r="I120" s="23"/>
    </row>
    <row r="121" spans="1:9" ht="18" customHeight="1">
      <c r="A121" s="5"/>
      <c r="B121" s="6" t="s">
        <v>114</v>
      </c>
      <c r="C121" s="6" t="s">
        <v>151</v>
      </c>
      <c r="D121" s="19">
        <f>2000+20000+25000+20000+15000</f>
        <v>82000</v>
      </c>
      <c r="E121" s="7"/>
      <c r="F121" s="19">
        <f>18360+42840+20000</f>
        <v>81200</v>
      </c>
      <c r="G121" s="7"/>
      <c r="H121" s="25">
        <f t="shared" si="3"/>
        <v>800</v>
      </c>
      <c r="I121" s="23"/>
    </row>
    <row r="122" spans="1:9" ht="18" customHeight="1">
      <c r="A122" s="5"/>
      <c r="B122" s="6" t="s">
        <v>162</v>
      </c>
      <c r="C122" s="6" t="s">
        <v>152</v>
      </c>
      <c r="D122" s="19">
        <f>40000+16059000+2723300</f>
        <v>18822300</v>
      </c>
      <c r="E122" s="7"/>
      <c r="F122" s="19"/>
      <c r="G122" s="7"/>
      <c r="H122" s="25">
        <f t="shared" si="3"/>
        <v>18822300</v>
      </c>
      <c r="I122" s="23"/>
    </row>
    <row r="123" spans="1:9" ht="18" customHeight="1">
      <c r="A123" s="5"/>
      <c r="B123" s="6" t="s">
        <v>169</v>
      </c>
      <c r="C123" s="6" t="s">
        <v>152</v>
      </c>
      <c r="D123" s="19"/>
      <c r="E123" s="7"/>
      <c r="F123" s="19"/>
      <c r="G123" s="7"/>
      <c r="H123" s="25">
        <f t="shared" si="3"/>
        <v>0</v>
      </c>
      <c r="I123" s="23"/>
    </row>
    <row r="124" spans="1:9" ht="72.75" customHeight="1">
      <c r="A124" s="5"/>
      <c r="B124" s="11" t="s">
        <v>55</v>
      </c>
      <c r="C124" s="11" t="s">
        <v>70</v>
      </c>
      <c r="D124" s="13">
        <f>D125</f>
        <v>0</v>
      </c>
      <c r="E124" s="13">
        <f>E125</f>
        <v>0</v>
      </c>
      <c r="F124" s="20">
        <f>F125</f>
        <v>0</v>
      </c>
      <c r="G124" s="13">
        <f>G125</f>
        <v>0</v>
      </c>
      <c r="H124" s="25">
        <f t="shared" si="3"/>
        <v>0</v>
      </c>
      <c r="I124" s="23"/>
    </row>
    <row r="125" spans="1:9" s="17" customFormat="1" ht="17.25" customHeight="1">
      <c r="A125" s="15">
        <v>2.5</v>
      </c>
      <c r="B125" s="6" t="s">
        <v>32</v>
      </c>
      <c r="C125" s="6" t="s">
        <v>37</v>
      </c>
      <c r="D125" s="7">
        <f>D127</f>
        <v>0</v>
      </c>
      <c r="E125" s="7">
        <f>E127</f>
        <v>0</v>
      </c>
      <c r="F125" s="19">
        <f>F127</f>
        <v>0</v>
      </c>
      <c r="G125" s="7">
        <f>G127</f>
        <v>0</v>
      </c>
      <c r="H125" s="25">
        <f t="shared" si="3"/>
        <v>0</v>
      </c>
      <c r="I125" s="23"/>
    </row>
    <row r="126" spans="1:9" ht="12.75" hidden="1">
      <c r="A126" s="5"/>
      <c r="B126" s="6"/>
      <c r="C126" s="6"/>
      <c r="D126" s="7"/>
      <c r="E126" s="7"/>
      <c r="F126" s="19"/>
      <c r="G126" s="7"/>
      <c r="H126" s="25">
        <f t="shared" si="3"/>
        <v>0</v>
      </c>
      <c r="I126" s="23"/>
    </row>
    <row r="127" spans="1:9" ht="36.75" customHeight="1">
      <c r="A127" s="5"/>
      <c r="B127" s="6" t="s">
        <v>139</v>
      </c>
      <c r="C127" s="6" t="s">
        <v>157</v>
      </c>
      <c r="D127" s="7"/>
      <c r="E127" s="7"/>
      <c r="F127" s="19"/>
      <c r="G127" s="7"/>
      <c r="H127" s="25">
        <f t="shared" si="3"/>
        <v>0</v>
      </c>
      <c r="I127" s="23"/>
    </row>
    <row r="128" spans="1:9" ht="18.75" customHeight="1">
      <c r="A128" s="5"/>
      <c r="B128" s="11" t="s">
        <v>56</v>
      </c>
      <c r="C128" s="11" t="s">
        <v>71</v>
      </c>
      <c r="D128" s="20">
        <f>D129</f>
        <v>0</v>
      </c>
      <c r="E128" s="20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24.75" customHeight="1">
      <c r="A129" s="5">
        <v>2.94</v>
      </c>
      <c r="B129" s="6" t="s">
        <v>20</v>
      </c>
      <c r="C129" s="6" t="s">
        <v>30</v>
      </c>
      <c r="D129" s="19"/>
      <c r="E129" s="19">
        <f>E131</f>
        <v>0</v>
      </c>
      <c r="F129" s="19"/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11"/>
      <c r="C130" s="6"/>
      <c r="D130" s="19"/>
      <c r="E130" s="19"/>
      <c r="F130" s="19"/>
      <c r="G130" s="7"/>
      <c r="H130" s="25">
        <f t="shared" si="3"/>
        <v>0</v>
      </c>
      <c r="I130" s="23"/>
    </row>
    <row r="131" spans="1:9" ht="17.25" customHeight="1">
      <c r="A131" s="5"/>
      <c r="B131" s="6" t="s">
        <v>140</v>
      </c>
      <c r="C131" s="6" t="s">
        <v>158</v>
      </c>
      <c r="D131" s="19"/>
      <c r="E131" s="19">
        <f>D131</f>
        <v>0</v>
      </c>
      <c r="F131" s="19"/>
      <c r="G131" s="7">
        <f>F131</f>
        <v>0</v>
      </c>
      <c r="H131" s="25">
        <f t="shared" si="3"/>
        <v>0</v>
      </c>
      <c r="I131" s="23"/>
    </row>
    <row r="132" spans="1:9" ht="61.5" customHeight="1">
      <c r="A132" s="5"/>
      <c r="B132" s="11" t="s">
        <v>60</v>
      </c>
      <c r="C132" s="11" t="s">
        <v>72</v>
      </c>
      <c r="D132" s="13">
        <f>D133</f>
        <v>0</v>
      </c>
      <c r="E132" s="13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19.5" customHeight="1">
      <c r="A133" s="5">
        <v>2.48</v>
      </c>
      <c r="B133" s="6" t="s">
        <v>4</v>
      </c>
      <c r="C133" s="6" t="s">
        <v>16</v>
      </c>
      <c r="D133" s="7">
        <f>D135</f>
        <v>0</v>
      </c>
      <c r="E133" s="7">
        <f>E135</f>
        <v>0</v>
      </c>
      <c r="F133" s="19">
        <f>F135</f>
        <v>0</v>
      </c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7"/>
      <c r="E134" s="7"/>
      <c r="F134" s="19"/>
      <c r="G134" s="7"/>
      <c r="H134" s="25">
        <f t="shared" si="3"/>
        <v>0</v>
      </c>
      <c r="I134" s="23"/>
    </row>
    <row r="135" spans="1:9" ht="36.75" customHeight="1">
      <c r="A135" s="5"/>
      <c r="B135" s="6" t="s">
        <v>107</v>
      </c>
      <c r="C135" s="6" t="s">
        <v>159</v>
      </c>
      <c r="D135" s="7">
        <f>424000-424000</f>
        <v>0</v>
      </c>
      <c r="E135" s="7"/>
      <c r="F135" s="19"/>
      <c r="G135" s="7"/>
      <c r="H135" s="25">
        <f t="shared" si="3"/>
        <v>0</v>
      </c>
      <c r="I135" s="23"/>
    </row>
    <row r="136" spans="1:9" ht="36.75" customHeight="1">
      <c r="A136" s="5"/>
      <c r="B136" s="11" t="s">
        <v>163</v>
      </c>
      <c r="C136" s="6" t="s">
        <v>154</v>
      </c>
      <c r="D136" s="13"/>
      <c r="E136" s="13"/>
      <c r="F136" s="20">
        <f>F137</f>
        <v>0</v>
      </c>
      <c r="G136" s="7"/>
      <c r="H136" s="25">
        <f t="shared" si="3"/>
        <v>0</v>
      </c>
      <c r="I136" s="23"/>
    </row>
    <row r="137" spans="1:9" ht="36.75" customHeight="1">
      <c r="A137" s="5"/>
      <c r="B137" s="6" t="s">
        <v>164</v>
      </c>
      <c r="C137" s="6" t="s">
        <v>165</v>
      </c>
      <c r="D137" s="7"/>
      <c r="E137" s="7"/>
      <c r="F137" s="19"/>
      <c r="G137" s="7"/>
      <c r="H137" s="25">
        <f t="shared" si="3"/>
        <v>0</v>
      </c>
      <c r="I137" s="23"/>
    </row>
    <row r="138" spans="1:9" ht="27.75" customHeight="1">
      <c r="A138" s="5"/>
      <c r="B138" s="11" t="s">
        <v>57</v>
      </c>
      <c r="C138" s="11" t="s">
        <v>73</v>
      </c>
      <c r="D138" s="13">
        <f>D139+D141</f>
        <v>145000</v>
      </c>
      <c r="E138" s="13">
        <f>E139+E141</f>
        <v>0</v>
      </c>
      <c r="F138" s="20">
        <f>F139+F141</f>
        <v>120349</v>
      </c>
      <c r="G138" s="13">
        <f>G139+G141</f>
        <v>0</v>
      </c>
      <c r="H138" s="25">
        <f t="shared" si="3"/>
        <v>24651</v>
      </c>
      <c r="I138" s="23"/>
    </row>
    <row r="139" spans="1:9" s="17" customFormat="1" ht="49.5" customHeight="1">
      <c r="A139" s="5">
        <v>2.5</v>
      </c>
      <c r="B139" s="6" t="s">
        <v>22</v>
      </c>
      <c r="C139" s="6" t="s">
        <v>10</v>
      </c>
      <c r="D139" s="7">
        <f>D140</f>
        <v>119000</v>
      </c>
      <c r="E139" s="7">
        <f>E140</f>
        <v>0</v>
      </c>
      <c r="F139" s="19">
        <f>F140</f>
        <v>117426</v>
      </c>
      <c r="G139" s="7">
        <f>G140</f>
        <v>0</v>
      </c>
      <c r="H139" s="25">
        <f aca="true" t="shared" si="7" ref="H139:H156">D139-F139</f>
        <v>1574</v>
      </c>
      <c r="I139" s="23"/>
    </row>
    <row r="140" spans="1:9" ht="15" customHeight="1">
      <c r="A140" s="5"/>
      <c r="B140" s="6" t="s">
        <v>141</v>
      </c>
      <c r="C140" s="6" t="s">
        <v>154</v>
      </c>
      <c r="D140" s="19">
        <f>52000-20000+82000+5000</f>
        <v>119000</v>
      </c>
      <c r="E140" s="7"/>
      <c r="F140" s="19">
        <f>113113+4313</f>
        <v>117426</v>
      </c>
      <c r="G140" s="7"/>
      <c r="H140" s="25">
        <f t="shared" si="7"/>
        <v>1574</v>
      </c>
      <c r="I140" s="23"/>
    </row>
    <row r="141" spans="1:9" s="17" customFormat="1" ht="18" customHeight="1">
      <c r="A141" s="5">
        <v>2.66</v>
      </c>
      <c r="B141" s="6" t="s">
        <v>27</v>
      </c>
      <c r="C141" s="6" t="s">
        <v>43</v>
      </c>
      <c r="D141" s="19">
        <f>D142</f>
        <v>26000</v>
      </c>
      <c r="E141" s="7">
        <f>E142</f>
        <v>0</v>
      </c>
      <c r="F141" s="19">
        <f>F142</f>
        <v>2923</v>
      </c>
      <c r="G141" s="7">
        <f>G142</f>
        <v>0</v>
      </c>
      <c r="H141" s="25">
        <f t="shared" si="7"/>
        <v>23077</v>
      </c>
      <c r="I141" s="23"/>
    </row>
    <row r="142" spans="1:9" ht="18" customHeight="1">
      <c r="A142" s="5"/>
      <c r="B142" s="6" t="s">
        <v>142</v>
      </c>
      <c r="C142" s="6" t="s">
        <v>154</v>
      </c>
      <c r="D142" s="19">
        <v>26000</v>
      </c>
      <c r="E142" s="7"/>
      <c r="F142" s="19">
        <f>2923</f>
        <v>2923</v>
      </c>
      <c r="G142" s="7"/>
      <c r="H142" s="25">
        <f t="shared" si="7"/>
        <v>23077</v>
      </c>
      <c r="I142" s="23"/>
    </row>
    <row r="143" spans="1:9" ht="18" customHeight="1">
      <c r="A143" s="5"/>
      <c r="B143" s="11" t="s">
        <v>58</v>
      </c>
      <c r="C143" s="11" t="s">
        <v>74</v>
      </c>
      <c r="D143" s="20">
        <f>D144+D146</f>
        <v>34000</v>
      </c>
      <c r="E143" s="13">
        <f>E144+E146</f>
        <v>0</v>
      </c>
      <c r="F143" s="20">
        <f>F144+F146</f>
        <v>31880</v>
      </c>
      <c r="G143" s="13">
        <f>G144+G146</f>
        <v>0</v>
      </c>
      <c r="H143" s="25">
        <f t="shared" si="7"/>
        <v>2120</v>
      </c>
      <c r="I143" s="23"/>
    </row>
    <row r="144" spans="1:9" s="17" customFormat="1" ht="52.5" customHeight="1">
      <c r="A144" s="5">
        <v>2.5</v>
      </c>
      <c r="B144" s="6" t="s">
        <v>22</v>
      </c>
      <c r="C144" s="6" t="s">
        <v>10</v>
      </c>
      <c r="D144" s="19">
        <f>D145</f>
        <v>23000</v>
      </c>
      <c r="E144" s="7">
        <f>E145</f>
        <v>0</v>
      </c>
      <c r="F144" s="19">
        <f>F145</f>
        <v>20991</v>
      </c>
      <c r="G144" s="7">
        <f>G145</f>
        <v>0</v>
      </c>
      <c r="H144" s="25">
        <f t="shared" si="7"/>
        <v>2009</v>
      </c>
      <c r="I144" s="23"/>
    </row>
    <row r="145" spans="1:9" ht="16.5" customHeight="1">
      <c r="A145" s="5"/>
      <c r="B145" s="6" t="s">
        <v>141</v>
      </c>
      <c r="C145" s="6" t="s">
        <v>154</v>
      </c>
      <c r="D145" s="19">
        <f>3000+20000</f>
        <v>23000</v>
      </c>
      <c r="E145" s="7"/>
      <c r="F145" s="19">
        <f>20991</f>
        <v>20991</v>
      </c>
      <c r="G145" s="7"/>
      <c r="H145" s="25">
        <f t="shared" si="7"/>
        <v>2009</v>
      </c>
      <c r="I145" s="23"/>
    </row>
    <row r="146" spans="1:9" s="17" customFormat="1" ht="16.5" customHeight="1">
      <c r="A146" s="5">
        <v>2.66</v>
      </c>
      <c r="B146" s="6" t="s">
        <v>27</v>
      </c>
      <c r="C146" s="6" t="s">
        <v>43</v>
      </c>
      <c r="D146" s="19">
        <f>D147</f>
        <v>11000</v>
      </c>
      <c r="E146" s="7">
        <f>E147</f>
        <v>0</v>
      </c>
      <c r="F146" s="19">
        <f>F147</f>
        <v>10889</v>
      </c>
      <c r="G146" s="7">
        <f>G147</f>
        <v>0</v>
      </c>
      <c r="H146" s="25">
        <f t="shared" si="7"/>
        <v>111</v>
      </c>
      <c r="I146" s="23"/>
    </row>
    <row r="147" spans="1:9" ht="18" customHeight="1">
      <c r="A147" s="5"/>
      <c r="B147" s="6" t="s">
        <v>142</v>
      </c>
      <c r="C147" s="6" t="s">
        <v>154</v>
      </c>
      <c r="D147" s="19">
        <f>10000+1000</f>
        <v>11000</v>
      </c>
      <c r="E147" s="7"/>
      <c r="F147" s="19">
        <f>8640+1912+337</f>
        <v>10889</v>
      </c>
      <c r="G147" s="7"/>
      <c r="H147" s="25">
        <f t="shared" si="7"/>
        <v>111</v>
      </c>
      <c r="I147" s="23"/>
    </row>
    <row r="148" spans="1:9" ht="16.5" customHeight="1">
      <c r="A148" s="5"/>
      <c r="B148" s="11" t="s">
        <v>59</v>
      </c>
      <c r="C148" s="11" t="s">
        <v>75</v>
      </c>
      <c r="D148" s="20">
        <f>D149+D151</f>
        <v>43000</v>
      </c>
      <c r="E148" s="13">
        <f>E149+E151</f>
        <v>0</v>
      </c>
      <c r="F148" s="20">
        <f>F149+F151</f>
        <v>4706.4</v>
      </c>
      <c r="G148" s="13">
        <f>G149+G151</f>
        <v>0</v>
      </c>
      <c r="H148" s="25">
        <f t="shared" si="7"/>
        <v>38293.6</v>
      </c>
      <c r="I148" s="23"/>
    </row>
    <row r="149" spans="1:9" s="17" customFormat="1" ht="50.25" customHeight="1">
      <c r="A149" s="5">
        <v>2.5</v>
      </c>
      <c r="B149" s="6" t="s">
        <v>22</v>
      </c>
      <c r="C149" s="6" t="s">
        <v>10</v>
      </c>
      <c r="D149" s="7">
        <f>D150</f>
        <v>40000</v>
      </c>
      <c r="E149" s="7">
        <f>E150</f>
        <v>0</v>
      </c>
      <c r="F149" s="19">
        <f>F150</f>
        <v>4453</v>
      </c>
      <c r="G149" s="7">
        <f>G150</f>
        <v>0</v>
      </c>
      <c r="H149" s="25">
        <f t="shared" si="7"/>
        <v>35547</v>
      </c>
      <c r="I149" s="23"/>
    </row>
    <row r="150" spans="1:9" ht="16.5" customHeight="1">
      <c r="A150" s="5"/>
      <c r="B150" s="6" t="s">
        <v>141</v>
      </c>
      <c r="C150" s="6" t="s">
        <v>154</v>
      </c>
      <c r="D150" s="29">
        <f>45000-5000</f>
        <v>40000</v>
      </c>
      <c r="E150" s="7"/>
      <c r="F150" s="19">
        <f>3953+500</f>
        <v>4453</v>
      </c>
      <c r="G150" s="7"/>
      <c r="H150" s="25">
        <f t="shared" si="7"/>
        <v>35547</v>
      </c>
      <c r="I150" s="23"/>
    </row>
    <row r="151" spans="1:9" s="17" customFormat="1" ht="17.25" customHeight="1">
      <c r="A151" s="5">
        <v>2.66</v>
      </c>
      <c r="B151" s="6" t="s">
        <v>27</v>
      </c>
      <c r="C151" s="6" t="s">
        <v>43</v>
      </c>
      <c r="D151" s="29">
        <f>D152</f>
        <v>3000</v>
      </c>
      <c r="E151" s="7">
        <f>E152</f>
        <v>0</v>
      </c>
      <c r="F151" s="19">
        <f>F152</f>
        <v>253.4</v>
      </c>
      <c r="G151" s="7">
        <f>G152</f>
        <v>0</v>
      </c>
      <c r="H151" s="25">
        <f t="shared" si="7"/>
        <v>2746.6</v>
      </c>
      <c r="I151" s="23"/>
    </row>
    <row r="152" spans="1:9" ht="15.75" customHeight="1">
      <c r="A152" s="5"/>
      <c r="B152" s="6" t="s">
        <v>142</v>
      </c>
      <c r="C152" s="6" t="s">
        <v>154</v>
      </c>
      <c r="D152" s="19">
        <f>4000-1000</f>
        <v>3000</v>
      </c>
      <c r="E152" s="7"/>
      <c r="F152" s="19">
        <v>253.4</v>
      </c>
      <c r="G152" s="7"/>
      <c r="H152" s="25">
        <f t="shared" si="7"/>
        <v>2746.6</v>
      </c>
      <c r="I152" s="23"/>
    </row>
    <row r="153" spans="1:9" ht="16.5" customHeight="1">
      <c r="A153" s="5"/>
      <c r="B153" s="11" t="s">
        <v>61</v>
      </c>
      <c r="C153" s="11" t="s">
        <v>76</v>
      </c>
      <c r="D153" s="13">
        <f aca="true" t="shared" si="8" ref="D153:G154">D154</f>
        <v>0</v>
      </c>
      <c r="E153" s="13">
        <f t="shared" si="8"/>
        <v>0</v>
      </c>
      <c r="F153" s="20">
        <f t="shared" si="8"/>
        <v>0</v>
      </c>
      <c r="G153" s="13">
        <f t="shared" si="8"/>
        <v>0</v>
      </c>
      <c r="H153" s="25">
        <f t="shared" si="7"/>
        <v>0</v>
      </c>
      <c r="I153" s="23"/>
    </row>
    <row r="154" spans="1:9" ht="15.75" customHeight="1">
      <c r="A154" s="5">
        <v>2.12</v>
      </c>
      <c r="B154" s="6" t="s">
        <v>5</v>
      </c>
      <c r="C154" s="6" t="s">
        <v>2</v>
      </c>
      <c r="D154" s="7">
        <f t="shared" si="8"/>
        <v>0</v>
      </c>
      <c r="E154" s="7">
        <f t="shared" si="8"/>
        <v>0</v>
      </c>
      <c r="F154" s="19">
        <f t="shared" si="8"/>
        <v>0</v>
      </c>
      <c r="G154" s="7">
        <f t="shared" si="8"/>
        <v>0</v>
      </c>
      <c r="H154" s="25">
        <f t="shared" si="7"/>
        <v>0</v>
      </c>
      <c r="I154" s="23"/>
    </row>
    <row r="155" spans="1:9" ht="18.75" customHeight="1">
      <c r="A155" s="5"/>
      <c r="B155" s="6" t="s">
        <v>143</v>
      </c>
      <c r="C155" s="6" t="s">
        <v>154</v>
      </c>
      <c r="D155" s="7"/>
      <c r="E155" s="7"/>
      <c r="F155" s="7"/>
      <c r="G155" s="7"/>
      <c r="H155" s="25">
        <f t="shared" si="7"/>
        <v>0</v>
      </c>
      <c r="I155" s="23"/>
    </row>
    <row r="156" spans="1:9" s="3" customFormat="1" ht="26.25" customHeight="1">
      <c r="A156" s="8" t="s">
        <v>23</v>
      </c>
      <c r="B156" s="9" t="s">
        <v>15</v>
      </c>
      <c r="C156" s="9" t="s">
        <v>9</v>
      </c>
      <c r="D156" s="21">
        <f>43118400+10605600+2723300-D6</f>
        <v>0</v>
      </c>
      <c r="E156" s="21">
        <f>21700300+50000</f>
        <v>21750300</v>
      </c>
      <c r="F156" s="21">
        <f>9273528.49-F6</f>
        <v>2311420.6800000006</v>
      </c>
      <c r="G156" s="21">
        <v>328100</v>
      </c>
      <c r="H156" s="25">
        <f t="shared" si="7"/>
        <v>-2311420.6800000006</v>
      </c>
      <c r="I156" s="23"/>
    </row>
    <row r="157" spans="1:8" ht="12.75">
      <c r="A157" s="32" t="s">
        <v>34</v>
      </c>
      <c r="B157" s="33"/>
      <c r="C157" s="33"/>
      <c r="D157" s="1" t="s">
        <v>34</v>
      </c>
      <c r="H157" s="25"/>
    </row>
    <row r="158" spans="1:9" ht="15">
      <c r="A158" s="14"/>
      <c r="B158" t="s">
        <v>80</v>
      </c>
      <c r="D158" s="16"/>
      <c r="E158" t="s">
        <v>170</v>
      </c>
      <c r="H158" s="25"/>
      <c r="I158" t="s">
        <v>189</v>
      </c>
    </row>
    <row r="159" spans="1:8" ht="15">
      <c r="A159" s="14"/>
      <c r="D159" s="16"/>
      <c r="H159" s="25"/>
    </row>
    <row r="160" ht="12.75">
      <c r="H160" s="25"/>
    </row>
    <row r="161" spans="2:8" ht="12.75">
      <c r="B161" t="s">
        <v>81</v>
      </c>
      <c r="E161" s="22" t="s">
        <v>167</v>
      </c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</sheetData>
  <sheetProtection/>
  <mergeCells count="6">
    <mergeCell ref="A1:G1"/>
    <mergeCell ref="A3:G3"/>
    <mergeCell ref="A157:C157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2018-05-07T06:36:14Z</cp:lastPrinted>
  <dcterms:created xsi:type="dcterms:W3CDTF">2016-02-15T06:23:39Z</dcterms:created>
  <dcterms:modified xsi:type="dcterms:W3CDTF">2018-05-07T06:36:20Z</dcterms:modified>
  <cp:category/>
  <cp:version/>
  <cp:contentType/>
  <cp:contentStatus/>
</cp:coreProperties>
</file>