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2" sheetId="1" r:id="rId1"/>
  </sheets>
  <definedNames>
    <definedName name="_xlnm.Print_Titles" localSheetId="0">'Sheet2'!$5:$5</definedName>
  </definedNames>
  <calcPr fullCalcOnLoad="1"/>
</workbook>
</file>

<file path=xl/sharedStrings.xml><?xml version="1.0" encoding="utf-8"?>
<sst xmlns="http://schemas.openxmlformats.org/spreadsheetml/2006/main" count="317" uniqueCount="193">
  <si>
    <t>000  0102  0000000000  000</t>
  </si>
  <si>
    <t>Защита населения и территории от чрезвычайных ситуаций природного и техногенного характера, гражданская оборона</t>
  </si>
  <si>
    <t>Резервные фонды</t>
  </si>
  <si>
    <t>000  0203  0000000000  000</t>
  </si>
  <si>
    <t>000  0501  0000000000  000</t>
  </si>
  <si>
    <t>000  0111  0000000000  000</t>
  </si>
  <si>
    <t>000  1003  0000000000  000</t>
  </si>
  <si>
    <t>№ листа / № строки</t>
  </si>
  <si>
    <t>000  0505  0000000000  000</t>
  </si>
  <si>
    <t>Результат исполнения бюджета (дефицит "--", профицит "+")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</si>
  <si>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</si>
  <si>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000  0412  0000000000  000</t>
  </si>
  <si>
    <t>000  0502  0000000000  000</t>
  </si>
  <si>
    <t>Социальное обеспечение населения</t>
  </si>
  <si>
    <t>Коммунальное хозяйство</t>
  </si>
  <si>
    <t>000  7900  0000000000  000</t>
  </si>
  <si>
    <t>Жилищное хозяйство</t>
  </si>
  <si>
    <t>Общее образование</t>
  </si>
  <si>
    <t>Мобилизационная и вневойсковая подготовка</t>
  </si>
  <si>
    <t>000  0409  0000000000  000</t>
  </si>
  <si>
    <t>000  1301  0000000000  000</t>
  </si>
  <si>
    <t>2,1</t>
  </si>
  <si>
    <t>000  0104  0000000000  000</t>
  </si>
  <si>
    <t>16,1</t>
  </si>
  <si>
    <t>000  1102  0000000000  000</t>
  </si>
  <si>
    <t>Наименование показателя</t>
  </si>
  <si>
    <t>Другие вопросы в области жилищно-коммунального хозяйства</t>
  </si>
  <si>
    <t>000  0801  0000000000  000</t>
  </si>
  <si>
    <t>Дорожное хозяйство (дорожные фонды)</t>
  </si>
  <si>
    <t>МЕСЯЧНЫЙ ОТЧЕТ ОБ ИСПОЛНЕНИИ БЮДЖЕТА</t>
  </si>
  <si>
    <t>Обслуживание государственного внутреннего и муниципального долга</t>
  </si>
  <si>
    <t>000  1001  0000000000  000</t>
  </si>
  <si>
    <t>000  0503  0000000000  000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</si>
  <si>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</si>
  <si>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</t>
  </si>
  <si>
    <t>Другие вопросы в области национальной экономики</t>
  </si>
  <si>
    <t>000  0701  0000000000  000</t>
  </si>
  <si>
    <t>Благоустройство</t>
  </si>
  <si>
    <t>Дошкольное образование</t>
  </si>
  <si>
    <t>Функционирование высшего должностного лица субъекта Российской Федерации и муниципального образования</t>
  </si>
  <si>
    <t>Массовый спорт</t>
  </si>
  <si>
    <t>000  0702  0000000000  000</t>
  </si>
  <si>
    <t>Код показателя</t>
  </si>
  <si>
    <t>Культура</t>
  </si>
  <si>
    <t>000  0309  0000000000  000</t>
  </si>
  <si>
    <t>000  0103  0000000000  000</t>
  </si>
  <si>
    <t>000  9600  0000000000  000</t>
  </si>
  <si>
    <t>Расходы бюджета - ИТОГО</t>
  </si>
  <si>
    <t>КВР 111</t>
  </si>
  <si>
    <t>КВР 119</t>
  </si>
  <si>
    <t>КВР 121</t>
  </si>
  <si>
    <t>КВР 129</t>
  </si>
  <si>
    <t>КВР 244</t>
  </si>
  <si>
    <t>КВР 312</t>
  </si>
  <si>
    <t>КВР 412</t>
  </si>
  <si>
    <t>КВР 611</t>
  </si>
  <si>
    <t>КВР 730</t>
  </si>
  <si>
    <t>КВР 851</t>
  </si>
  <si>
    <t>КВР 852</t>
  </si>
  <si>
    <t>КВР 853</t>
  </si>
  <si>
    <t>КВР 810</t>
  </si>
  <si>
    <t>КВР 870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</si>
  <si>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</si>
  <si>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</si>
  <si>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</si>
  <si>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</si>
  <si>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Прочая закупка товаров, работ и услуг для обеспечения государственных (муниципальных) нужд</t>
  </si>
  <si>
    <t>Иные пенсии, социальные доплаты к пенсиям</t>
  </si>
  <si>
    <t>Иные выплаты населению</t>
  </si>
  <si>
    <t>Бюджетные инвестиции на приобретение объектов недвижимого имущества в государственную (муниципальную) собственность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</si>
  <si>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</si>
  <si>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Обслуживание  муниципального долга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</si>
  <si>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</si>
  <si>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</si>
  <si>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</si>
  <si>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</si>
  <si>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Резервные средства</t>
  </si>
  <si>
    <t>Городские поселения План на год</t>
  </si>
  <si>
    <t>Городские поселения Исполнено</t>
  </si>
  <si>
    <t>Расходы</t>
  </si>
  <si>
    <t>Глава администрации</t>
  </si>
  <si>
    <t>Главный бухгалтер</t>
  </si>
  <si>
    <t>000  0801  0000000000  211</t>
  </si>
  <si>
    <t>000  0801  0000000000  213</t>
  </si>
  <si>
    <t>000  0102  0000000000  211</t>
  </si>
  <si>
    <t>000  0103  0000000000  211</t>
  </si>
  <si>
    <t>000  0104  0000000000  211</t>
  </si>
  <si>
    <t>000  0203  0000000000  211</t>
  </si>
  <si>
    <t>000  0102  0000000000  213</t>
  </si>
  <si>
    <t>000  0103  0000000000  213</t>
  </si>
  <si>
    <t>000  0104  0000000000  213</t>
  </si>
  <si>
    <t>000  0203  0000000000  213</t>
  </si>
  <si>
    <t>000  0104  0000000000  221</t>
  </si>
  <si>
    <t>000  0104  0000000000  222</t>
  </si>
  <si>
    <t>000  0104  0000000000  223</t>
  </si>
  <si>
    <t>000  0104  0000000000  225</t>
  </si>
  <si>
    <t>000  0104  0000000000  226</t>
  </si>
  <si>
    <t>000  0309  0000000000  225</t>
  </si>
  <si>
    <t>000  0309  0000000000  226</t>
  </si>
  <si>
    <t>000  0203  0000000000  221</t>
  </si>
  <si>
    <t>000  0203  0000000000  222</t>
  </si>
  <si>
    <t>000  0203  0000000000  223</t>
  </si>
  <si>
    <t>000  0203  0000000000  224</t>
  </si>
  <si>
    <t>000  0409  0000000000  225</t>
  </si>
  <si>
    <t>000  0409  0000000000  226</t>
  </si>
  <si>
    <t>000  0501  0000000000  225</t>
  </si>
  <si>
    <t>000  0501  0000000000  226</t>
  </si>
  <si>
    <t>000  0501  0000000000  242</t>
  </si>
  <si>
    <t>000  0502  0000000000  225</t>
  </si>
  <si>
    <t>000  0502  0000000000  226</t>
  </si>
  <si>
    <t>000  0503  0000000000  225</t>
  </si>
  <si>
    <t>000  0503  0000000000  223</t>
  </si>
  <si>
    <t>000  0503  0000000000  226</t>
  </si>
  <si>
    <t>000  0505  0000000000  225</t>
  </si>
  <si>
    <t>000  0505  0000000000  226</t>
  </si>
  <si>
    <t>000  0701  0000000000  223</t>
  </si>
  <si>
    <t>000  0701  0000000000  225</t>
  </si>
  <si>
    <t>000  0701  0000000000  340</t>
  </si>
  <si>
    <t>000  0702  0000000000  225</t>
  </si>
  <si>
    <t>000  0801  0000000000  221</t>
  </si>
  <si>
    <t>000  0801  0000000000  223</t>
  </si>
  <si>
    <t>000  0801  0000000000  225</t>
  </si>
  <si>
    <t>000  0801  0000000000  226</t>
  </si>
  <si>
    <t>000  0801  0000000000  310</t>
  </si>
  <si>
    <t>000  0801  0000000000  340</t>
  </si>
  <si>
    <t>000  0104  0000000000  224</t>
  </si>
  <si>
    <t>000  0104  0000000000  310</t>
  </si>
  <si>
    <t>000  0104  0000000000  340</t>
  </si>
  <si>
    <t>000  0203  0000000000  225</t>
  </si>
  <si>
    <t>000  0203  0000000000  310</t>
  </si>
  <si>
    <t>000  0203  0000000000  340</t>
  </si>
  <si>
    <t>000  0501  0000000000  290</t>
  </si>
  <si>
    <t>000  0502  0000000000  310</t>
  </si>
  <si>
    <t>000  0503  0000000000  222</t>
  </si>
  <si>
    <t>000  0503  0000000000  310</t>
  </si>
  <si>
    <t>000  0503  0000000000  340</t>
  </si>
  <si>
    <t>000  1102  0000000000  226</t>
  </si>
  <si>
    <t>000  1001  0000000000  263</t>
  </si>
  <si>
    <t>000  0501  0000000000  310</t>
  </si>
  <si>
    <t>000  0503  0000000000  241</t>
  </si>
  <si>
    <t>000  1301  0000000000  231</t>
  </si>
  <si>
    <t>000  0104  0000000000  290</t>
  </si>
  <si>
    <t>000  0801  0000000000  290</t>
  </si>
  <si>
    <t>000  0111  0000000000  290</t>
  </si>
  <si>
    <t>Заработная плата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</si>
  <si>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</si>
  <si>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</si>
  <si>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</si>
  <si>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</si>
  <si>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</si>
  <si>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Арендная плата за пользование имуществом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</si>
  <si>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</si>
  <si>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</si>
  <si>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</si>
  <si>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Прочие расходы</t>
  </si>
  <si>
    <t>Пенсии, пособия, выплачиваемые организациям сектора государственного управления</t>
  </si>
  <si>
    <t>Пособия по социальной помощи населению</t>
  </si>
  <si>
    <t>Безвозмездные перечисления государственным и муниципальным организациям</t>
  </si>
  <si>
    <t>Обслуживание внутреннего долга</t>
  </si>
  <si>
    <t>Безвозмездные перечисления организациям, за исключением государственных и муниципальных организаций</t>
  </si>
  <si>
    <t>КВР 414</t>
  </si>
  <si>
    <t>Бюджетные инвестиции  в объекты капитального строительства государственной (муниципальной) собственности</t>
  </si>
  <si>
    <t>000  0505  0000000000  310</t>
  </si>
  <si>
    <t>КВР 831</t>
  </si>
  <si>
    <t>000 1130 0000000000 290</t>
  </si>
  <si>
    <t>Другие общегосударственные расходы</t>
  </si>
  <si>
    <t>000 0701 0000000000    290</t>
  </si>
  <si>
    <t>М.Д. Морозова</t>
  </si>
  <si>
    <t xml:space="preserve">                                по Латненскому  городскому   поселению</t>
  </si>
  <si>
    <t>000  0412  0000000000  310</t>
  </si>
  <si>
    <t>А.В. Братякин</t>
  </si>
  <si>
    <t>000  0409  0000000000  340</t>
  </si>
  <si>
    <t>000  0702  0000000000  310</t>
  </si>
  <si>
    <t>000  0702  0000000000  340</t>
  </si>
  <si>
    <t>Суммы, подлежащие взаимоисключению                    План</t>
  </si>
  <si>
    <t>Суммы, подлежащие взаимоисключению       Исполнение</t>
  </si>
  <si>
    <t>000  0412  0000000000  225</t>
  </si>
  <si>
    <t>000  0409  0000000000  222</t>
  </si>
  <si>
    <t>000  0412  0000000000  226</t>
  </si>
  <si>
    <t>000  0113  0000000000  000</t>
  </si>
  <si>
    <t>000  0113  0000000000  221</t>
  </si>
  <si>
    <t>000  0113  0000000000  222</t>
  </si>
  <si>
    <t>000  0113  0000000000  223</t>
  </si>
  <si>
    <t>000  0113  0000000000  225</t>
  </si>
  <si>
    <t>Другие общегосударственные вопросы</t>
  </si>
  <si>
    <t>000  1102  0000000000  222</t>
  </si>
  <si>
    <t>000  1102  0000000000  310</t>
  </si>
  <si>
    <t>КВР 321</t>
  </si>
  <si>
    <t>000  1003  0000000000  263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</si>
  <si>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</si>
  <si>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000  0801  0000000000  222</t>
  </si>
  <si>
    <t>000  1102  0000000000  340</t>
  </si>
  <si>
    <t xml:space="preserve">  на 01 января 2018г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</si>
</sst>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\$* #,##0_);_(\$* \(#,##0\);_(\$* &quot;-&quot;_);_(@_)"/>
    <numFmt numFmtId="173" formatCode="_(* #,##0.00_);_(* \(#,##0.00\);_(* &quot;-&quot;??_);_(@_)"/>
    <numFmt numFmtId="174" formatCode="_(\$* #,##0.00_);_(\$* \(#,##0.00\);_(\$* &quot;-&quot;??_);_(@_)"/>
    <numFmt numFmtId="175" formatCode="_*#,##0.00"/>
  </numFmts>
  <fonts count="44">
    <font>
      <sz val="10"/>
      <color indexed="8"/>
      <name val="Arial"/>
      <family val="2"/>
    </font>
    <font>
      <sz val="7"/>
      <color indexed="8"/>
      <name val="Tahoma"/>
      <family val="2"/>
    </font>
    <font>
      <b/>
      <sz val="8"/>
      <color indexed="8"/>
      <name val="Tahoma"/>
      <family val="2"/>
    </font>
    <font>
      <sz val="11"/>
      <color indexed="8"/>
      <name val="Times New Roman CYR"/>
      <family val="2"/>
    </font>
    <font>
      <sz val="10"/>
      <color indexed="8"/>
      <name val="Tahoma"/>
      <family val="2"/>
    </font>
    <font>
      <b/>
      <sz val="9"/>
      <color indexed="8"/>
      <name val="Tahoma"/>
      <family val="2"/>
    </font>
    <font>
      <sz val="9"/>
      <color indexed="8"/>
      <name val="Arial"/>
      <family val="2"/>
    </font>
    <font>
      <sz val="9"/>
      <color indexed="8"/>
      <name val="Tahoma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4" fontId="0" fillId="0" borderId="0">
      <alignment/>
      <protection/>
    </xf>
    <xf numFmtId="45" fontId="0" fillId="0" borderId="0">
      <alignment/>
      <protection/>
    </xf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>
      <alignment/>
      <protection/>
    </xf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2" fontId="0" fillId="0" borderId="0">
      <alignment/>
      <protection/>
    </xf>
    <xf numFmtId="173" fontId="0" fillId="0" borderId="0">
      <alignment/>
      <protection/>
    </xf>
    <xf numFmtId="0" fontId="43" fillId="31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5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left" wrapText="1"/>
    </xf>
    <xf numFmtId="175" fontId="7" fillId="0" borderId="11" xfId="0" applyNumberFormat="1" applyFont="1" applyBorder="1" applyAlignment="1">
      <alignment horizontal="right" wrapText="1"/>
    </xf>
    <xf numFmtId="0" fontId="5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left" wrapText="1"/>
    </xf>
    <xf numFmtId="175" fontId="5" fillId="0" borderId="11" xfId="0" applyNumberFormat="1" applyFont="1" applyBorder="1" applyAlignment="1">
      <alignment horizontal="right" wrapText="1"/>
    </xf>
    <xf numFmtId="0" fontId="5" fillId="0" borderId="11" xfId="0" applyFont="1" applyBorder="1" applyAlignment="1">
      <alignment horizontal="left" wrapText="1"/>
    </xf>
    <xf numFmtId="0" fontId="5" fillId="0" borderId="11" xfId="0" applyFont="1" applyBorder="1" applyAlignment="1">
      <alignment horizontal="center" wrapText="1"/>
    </xf>
    <xf numFmtId="175" fontId="5" fillId="0" borderId="11" xfId="0" applyNumberFormat="1" applyFont="1" applyBorder="1" applyAlignment="1">
      <alignment horizontal="right" wrapText="1"/>
    </xf>
    <xf numFmtId="0" fontId="4" fillId="0" borderId="0" xfId="0" applyFont="1" applyAlignment="1">
      <alignment horizontal="left" vertical="top" wrapText="1"/>
    </xf>
    <xf numFmtId="2" fontId="7" fillId="0" borderId="11" xfId="0" applyNumberFormat="1" applyFont="1" applyBorder="1" applyAlignment="1">
      <alignment horizontal="center" wrapText="1"/>
    </xf>
    <xf numFmtId="0" fontId="3" fillId="0" borderId="0" xfId="0" applyFont="1" applyAlignment="1">
      <alignment horizontal="right" vertical="top" wrapText="1"/>
    </xf>
    <xf numFmtId="0" fontId="0" fillId="0" borderId="0" xfId="0" applyFont="1" applyAlignment="1">
      <alignment/>
    </xf>
    <xf numFmtId="0" fontId="7" fillId="0" borderId="11" xfId="0" applyFont="1" applyBorder="1" applyAlignment="1">
      <alignment horizontal="left" wrapText="1"/>
    </xf>
    <xf numFmtId="175" fontId="7" fillId="0" borderId="11" xfId="0" applyNumberFormat="1" applyFont="1" applyFill="1" applyBorder="1" applyAlignment="1">
      <alignment horizontal="right" wrapText="1"/>
    </xf>
    <xf numFmtId="175" fontId="5" fillId="0" borderId="11" xfId="0" applyNumberFormat="1" applyFont="1" applyFill="1" applyBorder="1" applyAlignment="1">
      <alignment horizontal="right" wrapText="1"/>
    </xf>
    <xf numFmtId="175" fontId="5" fillId="0" borderId="11" xfId="0" applyNumberFormat="1" applyFont="1" applyFill="1" applyBorder="1" applyAlignment="1">
      <alignment horizontal="right" wrapText="1"/>
    </xf>
    <xf numFmtId="0" fontId="0" fillId="0" borderId="0" xfId="0" applyAlignment="1">
      <alignment horizontal="left"/>
    </xf>
    <xf numFmtId="2" fontId="0" fillId="0" borderId="0" xfId="0" applyNumberFormat="1" applyAlignment="1">
      <alignment/>
    </xf>
    <xf numFmtId="2" fontId="8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175" fontId="7" fillId="0" borderId="11" xfId="0" applyNumberFormat="1" applyFont="1" applyBorder="1" applyAlignment="1">
      <alignment horizontal="right" wrapText="1"/>
    </xf>
    <xf numFmtId="0" fontId="5" fillId="0" borderId="11" xfId="0" applyFont="1" applyFill="1" applyBorder="1" applyAlignment="1">
      <alignment horizontal="left" wrapText="1"/>
    </xf>
    <xf numFmtId="175" fontId="7" fillId="0" borderId="11" xfId="0" applyNumberFormat="1" applyFont="1" applyFill="1" applyBorder="1" applyAlignment="1">
      <alignment horizontal="right" wrapText="1"/>
    </xf>
    <xf numFmtId="175" fontId="7" fillId="32" borderId="11" xfId="0" applyNumberFormat="1" applyFont="1" applyFill="1" applyBorder="1" applyAlignment="1">
      <alignment horizontal="right" wrapText="1"/>
    </xf>
    <xf numFmtId="175" fontId="7" fillId="33" borderId="11" xfId="0" applyNumberFormat="1" applyFont="1" applyFill="1" applyBorder="1" applyAlignment="1">
      <alignment horizontal="right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/>
    </xf>
    <xf numFmtId="0" fontId="2" fillId="0" borderId="12" xfId="0" applyFont="1" applyBorder="1" applyAlignment="1">
      <alignment horizontal="left" vertical="top" wrapText="1"/>
    </xf>
    <xf numFmtId="0" fontId="0" fillId="0" borderId="12" xfId="0" applyBorder="1" applyAlignment="1">
      <alignment horizontal="left"/>
    </xf>
    <xf numFmtId="0" fontId="8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91"/>
  <sheetViews>
    <sheetView tabSelected="1" zoomScalePageLayoutView="0" workbookViewId="0" topLeftCell="A1">
      <selection activeCell="G161" sqref="A1:G161"/>
    </sheetView>
  </sheetViews>
  <sheetFormatPr defaultColWidth="9.140625" defaultRowHeight="12.75"/>
  <cols>
    <col min="1" max="1" width="10.140625" style="0" customWidth="1"/>
    <col min="2" max="2" width="28.140625" style="0" customWidth="1"/>
    <col min="3" max="3" width="38.7109375" style="0" customWidth="1"/>
    <col min="4" max="4" width="17.421875" style="0" customWidth="1"/>
    <col min="5" max="5" width="15.28125" style="0" customWidth="1"/>
    <col min="6" max="6" width="16.00390625" style="0" customWidth="1"/>
    <col min="7" max="7" width="15.140625" style="0" customWidth="1"/>
    <col min="8" max="8" width="15.28125" style="0" customWidth="1"/>
    <col min="9" max="9" width="14.8515625" style="0" customWidth="1"/>
    <col min="10" max="10" width="10.57421875" style="0" bestFit="1" customWidth="1"/>
    <col min="11" max="11" width="11.57421875" style="0" bestFit="1" customWidth="1"/>
  </cols>
  <sheetData>
    <row r="1" spans="1:7" ht="12.75" customHeight="1">
      <c r="A1" s="31" t="s">
        <v>29</v>
      </c>
      <c r="B1" s="31"/>
      <c r="C1" s="31"/>
      <c r="D1" s="31"/>
      <c r="E1" s="31"/>
      <c r="F1" s="31"/>
      <c r="G1" s="31"/>
    </row>
    <row r="2" spans="1:7" ht="12.75">
      <c r="A2" s="36" t="s">
        <v>79</v>
      </c>
      <c r="B2" s="36"/>
      <c r="C2" s="36"/>
      <c r="D2" s="36"/>
      <c r="E2" s="36"/>
      <c r="F2" s="36"/>
      <c r="G2" s="36"/>
    </row>
    <row r="3" spans="1:7" ht="12.75" customHeight="1">
      <c r="A3" s="31" t="s">
        <v>192</v>
      </c>
      <c r="B3" s="31"/>
      <c r="C3" s="31"/>
      <c r="D3" s="31"/>
      <c r="E3" s="31"/>
      <c r="F3" s="31"/>
      <c r="G3" s="31"/>
    </row>
    <row r="4" spans="1:7" ht="12.75">
      <c r="A4" s="32" t="s">
        <v>34</v>
      </c>
      <c r="B4" s="33"/>
      <c r="C4" s="34" t="s">
        <v>168</v>
      </c>
      <c r="D4" s="35"/>
      <c r="E4" s="35"/>
      <c r="F4" s="35"/>
      <c r="G4" s="1"/>
    </row>
    <row r="5" spans="1:8" ht="67.5" customHeight="1">
      <c r="A5" s="4" t="s">
        <v>7</v>
      </c>
      <c r="B5" s="4" t="s">
        <v>42</v>
      </c>
      <c r="C5" s="4" t="s">
        <v>25</v>
      </c>
      <c r="D5" s="4" t="s">
        <v>77</v>
      </c>
      <c r="E5" s="4" t="s">
        <v>174</v>
      </c>
      <c r="F5" s="4" t="s">
        <v>78</v>
      </c>
      <c r="G5" s="4" t="s">
        <v>175</v>
      </c>
      <c r="H5" s="2"/>
    </row>
    <row r="6" spans="1:8" ht="15" customHeight="1">
      <c r="A6" s="12" t="s">
        <v>21</v>
      </c>
      <c r="B6" s="11" t="s">
        <v>46</v>
      </c>
      <c r="C6" s="11" t="s">
        <v>47</v>
      </c>
      <c r="D6" s="13">
        <f>D7+D10+D13+D22+D31+D107+D110+D113+D116+D124+D128+D132+D136+D138+D143+D148+D153</f>
        <v>48465046.3</v>
      </c>
      <c r="E6" s="13">
        <f>E7+E10+E13+E22+E31+E107+E110+E113+E124+E128+E132+E138+E143+E148+E153+E116</f>
        <v>0</v>
      </c>
      <c r="F6" s="20">
        <f>F7+F10+F13+F22+F31+F107+F110+F113+F116+F124+F128+F132+F136+F138+F143+F148+F153</f>
        <v>46783916.78</v>
      </c>
      <c r="G6" s="13">
        <f>G7+G10+G13+G22+G31+G107+G110+G113+G124+G128+G132+G138+G143+G148+G153+G116</f>
        <v>0</v>
      </c>
      <c r="H6" s="25"/>
    </row>
    <row r="7" spans="1:9" ht="21" customHeight="1">
      <c r="A7" s="5"/>
      <c r="B7" s="11" t="s">
        <v>48</v>
      </c>
      <c r="C7" s="11" t="s">
        <v>62</v>
      </c>
      <c r="D7" s="13">
        <f aca="true" t="shared" si="0" ref="D7:G8">D8</f>
        <v>958000</v>
      </c>
      <c r="E7" s="13">
        <f t="shared" si="0"/>
        <v>0</v>
      </c>
      <c r="F7" s="20">
        <f t="shared" si="0"/>
        <v>957776.23</v>
      </c>
      <c r="G7" s="13">
        <f t="shared" si="0"/>
        <v>0</v>
      </c>
      <c r="H7" s="25"/>
      <c r="I7" s="23"/>
    </row>
    <row r="8" spans="1:9" ht="16.5" customHeight="1">
      <c r="A8" s="5">
        <v>2.66</v>
      </c>
      <c r="B8" s="6" t="s">
        <v>27</v>
      </c>
      <c r="C8" s="6" t="s">
        <v>43</v>
      </c>
      <c r="D8" s="7">
        <f t="shared" si="0"/>
        <v>958000</v>
      </c>
      <c r="E8" s="7">
        <f t="shared" si="0"/>
        <v>0</v>
      </c>
      <c r="F8" s="19">
        <f>F9</f>
        <v>957776.23</v>
      </c>
      <c r="G8" s="7">
        <f t="shared" si="0"/>
        <v>0</v>
      </c>
      <c r="H8" s="25">
        <f>D8-F8</f>
        <v>223.77000000001863</v>
      </c>
      <c r="I8" s="23"/>
    </row>
    <row r="9" spans="1:9" ht="15" customHeight="1">
      <c r="A9" s="5"/>
      <c r="B9" s="6" t="s">
        <v>82</v>
      </c>
      <c r="C9" s="6" t="s">
        <v>144</v>
      </c>
      <c r="D9" s="19">
        <v>958000</v>
      </c>
      <c r="E9" s="7"/>
      <c r="F9" s="19">
        <f>14000+83814+79814+51802+10012+25207+43937+9913+24208.3+13000+33824.55+10603+21217.5+1467.2+17962+18641+11099.14+21618+10000+13792+34651+13000+46894+12844.5+20000+59112+10918.29+18000+40450+11721.56+1263+18000+44782.94+11434.25+18000+66277.5+14495.5</f>
        <v>957776.23</v>
      </c>
      <c r="G9" s="7"/>
      <c r="H9" s="25">
        <f aca="true" t="shared" si="1" ref="H9:H72">D9-F9</f>
        <v>223.77000000001863</v>
      </c>
      <c r="I9" s="23"/>
    </row>
    <row r="10" spans="1:9" ht="52.5" customHeight="1">
      <c r="A10" s="5"/>
      <c r="B10" s="11" t="s">
        <v>49</v>
      </c>
      <c r="C10" s="11" t="s">
        <v>63</v>
      </c>
      <c r="D10" s="13">
        <f aca="true" t="shared" si="2" ref="D10:G11">D11</f>
        <v>289000</v>
      </c>
      <c r="E10" s="13">
        <f t="shared" si="2"/>
        <v>0</v>
      </c>
      <c r="F10" s="20">
        <f t="shared" si="2"/>
        <v>288982.7</v>
      </c>
      <c r="G10" s="13">
        <f t="shared" si="2"/>
        <v>0</v>
      </c>
      <c r="H10" s="25">
        <f t="shared" si="1"/>
        <v>17.29999999998836</v>
      </c>
      <c r="I10" s="23"/>
    </row>
    <row r="11" spans="1:9" ht="15.75" customHeight="1">
      <c r="A11" s="5">
        <v>2.66</v>
      </c>
      <c r="B11" s="6" t="s">
        <v>27</v>
      </c>
      <c r="C11" s="6" t="s">
        <v>43</v>
      </c>
      <c r="D11" s="7">
        <f>D12</f>
        <v>289000</v>
      </c>
      <c r="E11" s="7">
        <f t="shared" si="2"/>
        <v>0</v>
      </c>
      <c r="F11" s="19">
        <f>F12</f>
        <v>288982.7</v>
      </c>
      <c r="G11" s="7">
        <f t="shared" si="2"/>
        <v>0</v>
      </c>
      <c r="H11" s="25">
        <f t="shared" si="1"/>
        <v>17.29999999998836</v>
      </c>
      <c r="I11" s="23"/>
    </row>
    <row r="12" spans="1:9" ht="17.25" customHeight="1">
      <c r="A12" s="5"/>
      <c r="B12" s="6" t="s">
        <v>83</v>
      </c>
      <c r="C12" s="6" t="s">
        <v>145</v>
      </c>
      <c r="D12" s="7">
        <v>289000</v>
      </c>
      <c r="E12" s="7"/>
      <c r="F12" s="19">
        <f>9991.96+22078.06+24103.82+24103.82+23875.33+1627.45+24224.42+1479.5+20367.01+24176.61+21967+23801.2+24972.95+22413.57+19800</f>
        <v>288982.7</v>
      </c>
      <c r="G12" s="7"/>
      <c r="H12" s="25">
        <f t="shared" si="1"/>
        <v>17.29999999998836</v>
      </c>
      <c r="I12" s="23"/>
    </row>
    <row r="13" spans="1:9" s="3" customFormat="1" ht="28.5" customHeight="1">
      <c r="A13" s="8"/>
      <c r="B13" s="9" t="s">
        <v>50</v>
      </c>
      <c r="C13" s="11" t="s">
        <v>64</v>
      </c>
      <c r="D13" s="10">
        <f>D14+D16+D18+D20</f>
        <v>2762200</v>
      </c>
      <c r="E13" s="10">
        <f>E14+E16+E18+E20</f>
        <v>0</v>
      </c>
      <c r="F13" s="21">
        <f>F14+F16+F18+F20</f>
        <v>2761976.83</v>
      </c>
      <c r="G13" s="10">
        <f>G14+G16+G18+G20</f>
        <v>0</v>
      </c>
      <c r="H13" s="25">
        <f t="shared" si="1"/>
        <v>223.1699999999255</v>
      </c>
      <c r="I13" s="23"/>
    </row>
    <row r="14" spans="1:9" ht="48.75" customHeight="1">
      <c r="A14" s="5">
        <v>2.3</v>
      </c>
      <c r="B14" s="6" t="s">
        <v>0</v>
      </c>
      <c r="C14" s="6" t="s">
        <v>39</v>
      </c>
      <c r="D14" s="7">
        <f>D15</f>
        <v>0</v>
      </c>
      <c r="E14" s="7">
        <f>E15</f>
        <v>0</v>
      </c>
      <c r="F14" s="19">
        <f>F15</f>
        <v>0</v>
      </c>
      <c r="G14" s="7">
        <f>G15</f>
        <v>0</v>
      </c>
      <c r="H14" s="25">
        <f t="shared" si="1"/>
        <v>0</v>
      </c>
      <c r="I14" s="23"/>
    </row>
    <row r="15" spans="1:9" ht="16.5" customHeight="1">
      <c r="A15" s="5"/>
      <c r="B15" s="6" t="s">
        <v>84</v>
      </c>
      <c r="C15" s="6" t="s">
        <v>144</v>
      </c>
      <c r="D15" s="7"/>
      <c r="E15" s="7"/>
      <c r="F15" s="19"/>
      <c r="G15" s="7"/>
      <c r="H15" s="25">
        <f t="shared" si="1"/>
        <v>0</v>
      </c>
      <c r="I15" s="23"/>
    </row>
    <row r="16" spans="1:9" ht="50.25" customHeight="1">
      <c r="A16" s="5">
        <v>2.4</v>
      </c>
      <c r="B16" s="6" t="s">
        <v>45</v>
      </c>
      <c r="C16" s="6" t="s">
        <v>33</v>
      </c>
      <c r="D16" s="7">
        <f>D17</f>
        <v>0</v>
      </c>
      <c r="E16" s="7">
        <f>E17</f>
        <v>0</v>
      </c>
      <c r="F16" s="19">
        <f>F17</f>
        <v>0</v>
      </c>
      <c r="G16" s="7">
        <f>G17</f>
        <v>0</v>
      </c>
      <c r="H16" s="25">
        <f t="shared" si="1"/>
        <v>0</v>
      </c>
      <c r="I16" s="23"/>
    </row>
    <row r="17" spans="1:9" ht="15.75" customHeight="1">
      <c r="A17" s="5"/>
      <c r="B17" s="6" t="s">
        <v>85</v>
      </c>
      <c r="C17" s="6" t="s">
        <v>144</v>
      </c>
      <c r="D17" s="7"/>
      <c r="E17" s="7"/>
      <c r="F17" s="19"/>
      <c r="G17" s="7"/>
      <c r="H17" s="25">
        <f t="shared" si="1"/>
        <v>0</v>
      </c>
      <c r="I17" s="23"/>
    </row>
    <row r="18" spans="1:256" ht="60.75" customHeight="1">
      <c r="A18" s="5">
        <v>2.5</v>
      </c>
      <c r="B18" s="6" t="s">
        <v>22</v>
      </c>
      <c r="C18" s="6" t="s">
        <v>10</v>
      </c>
      <c r="D18" s="7">
        <f>D19</f>
        <v>2643000</v>
      </c>
      <c r="E18" s="7">
        <f>E19</f>
        <v>0</v>
      </c>
      <c r="F18" s="19">
        <f>F19</f>
        <v>2642776.83</v>
      </c>
      <c r="G18" s="7">
        <f>G19</f>
        <v>0</v>
      </c>
      <c r="H18" s="25">
        <f t="shared" si="1"/>
        <v>223.1699999999255</v>
      </c>
      <c r="I18" s="23"/>
      <c r="IV18">
        <f>SUM(A18:IU18)</f>
        <v>5286002.5</v>
      </c>
    </row>
    <row r="19" spans="1:9" ht="18" customHeight="1">
      <c r="A19" s="5"/>
      <c r="B19" s="6" t="s">
        <v>86</v>
      </c>
      <c r="C19" s="6" t="s">
        <v>144</v>
      </c>
      <c r="D19" s="19">
        <f>2021000+622000</f>
        <v>2643000</v>
      </c>
      <c r="E19" s="7"/>
      <c r="F19" s="19">
        <f>1378457.48+504446.27+87120+18486+6854.62+24011.71+33000+16000+73150+18486+6854.62+20363.96+9332+45000+16000+128575.96+27234.47+8279.35+28198.3+6600+55000+86886.54+18631.55+7961+17847</f>
        <v>2642776.83</v>
      </c>
      <c r="G19" s="7"/>
      <c r="H19" s="25">
        <f t="shared" si="1"/>
        <v>223.1699999999255</v>
      </c>
      <c r="I19" s="23"/>
    </row>
    <row r="20" spans="1:9" ht="24" customHeight="1">
      <c r="A20" s="5">
        <v>2.16</v>
      </c>
      <c r="B20" s="6" t="s">
        <v>3</v>
      </c>
      <c r="C20" s="6" t="s">
        <v>18</v>
      </c>
      <c r="D20" s="7">
        <f>D21</f>
        <v>119200</v>
      </c>
      <c r="E20" s="7">
        <f>E21</f>
        <v>0</v>
      </c>
      <c r="F20" s="19">
        <f>F21</f>
        <v>119200</v>
      </c>
      <c r="G20" s="7">
        <f>G21</f>
        <v>0</v>
      </c>
      <c r="H20" s="25">
        <f t="shared" si="1"/>
        <v>0</v>
      </c>
      <c r="I20" s="23"/>
    </row>
    <row r="21" spans="1:9" ht="18.75" customHeight="1">
      <c r="A21" s="5"/>
      <c r="B21" s="6" t="s">
        <v>87</v>
      </c>
      <c r="C21" s="6" t="s">
        <v>144</v>
      </c>
      <c r="D21" s="7">
        <f>119200</f>
        <v>119200</v>
      </c>
      <c r="E21" s="7"/>
      <c r="F21" s="19">
        <f>87113.6+5000+7496+1889+5000+5000+6050.4+1651</f>
        <v>119200</v>
      </c>
      <c r="G21" s="7"/>
      <c r="H21" s="25">
        <f t="shared" si="1"/>
        <v>0</v>
      </c>
      <c r="I21" s="23"/>
    </row>
    <row r="22" spans="1:9" ht="59.25" customHeight="1">
      <c r="A22" s="5"/>
      <c r="B22" s="11" t="s">
        <v>51</v>
      </c>
      <c r="C22" s="11" t="s">
        <v>65</v>
      </c>
      <c r="D22" s="13">
        <f>D23+D25+D27+D29</f>
        <v>839000</v>
      </c>
      <c r="E22" s="13">
        <f>E23+E25+E27+E29</f>
        <v>0</v>
      </c>
      <c r="F22" s="20">
        <f>F23+F25+F27+F29</f>
        <v>838590.74</v>
      </c>
      <c r="G22" s="13">
        <f>G23+G25+G27+G29</f>
        <v>0</v>
      </c>
      <c r="H22" s="25">
        <f t="shared" si="1"/>
        <v>409.2600000000093</v>
      </c>
      <c r="I22" s="23"/>
    </row>
    <row r="23" spans="1:9" ht="42" customHeight="1">
      <c r="A23" s="5">
        <v>2.3</v>
      </c>
      <c r="B23" s="6" t="s">
        <v>0</v>
      </c>
      <c r="C23" s="6" t="s">
        <v>39</v>
      </c>
      <c r="D23" s="7">
        <f>D24</f>
        <v>0</v>
      </c>
      <c r="E23" s="7">
        <f>E24</f>
        <v>0</v>
      </c>
      <c r="F23" s="19">
        <f>F24</f>
        <v>0</v>
      </c>
      <c r="G23" s="7">
        <f>G24</f>
        <v>0</v>
      </c>
      <c r="H23" s="25">
        <f t="shared" si="1"/>
        <v>0</v>
      </c>
      <c r="I23" s="23"/>
    </row>
    <row r="24" spans="1:9" ht="15.75" customHeight="1">
      <c r="A24" s="5"/>
      <c r="B24" s="6" t="s">
        <v>88</v>
      </c>
      <c r="C24" s="6" t="s">
        <v>145</v>
      </c>
      <c r="D24" s="7"/>
      <c r="E24" s="7"/>
      <c r="F24" s="19"/>
      <c r="G24" s="7"/>
      <c r="H24" s="25">
        <f t="shared" si="1"/>
        <v>0</v>
      </c>
      <c r="I24" s="23"/>
    </row>
    <row r="25" spans="1:9" ht="48.75" customHeight="1">
      <c r="A25" s="5">
        <v>2.4</v>
      </c>
      <c r="B25" s="6" t="s">
        <v>45</v>
      </c>
      <c r="C25" s="6" t="s">
        <v>33</v>
      </c>
      <c r="D25" s="7">
        <f>D26</f>
        <v>0</v>
      </c>
      <c r="E25" s="7">
        <f>E26</f>
        <v>0</v>
      </c>
      <c r="F25" s="19">
        <f>F26</f>
        <v>0</v>
      </c>
      <c r="G25" s="7">
        <f>G26</f>
        <v>0</v>
      </c>
      <c r="H25" s="25">
        <f t="shared" si="1"/>
        <v>0</v>
      </c>
      <c r="I25" s="23"/>
    </row>
    <row r="26" spans="1:9" ht="15.75" customHeight="1">
      <c r="A26" s="5"/>
      <c r="B26" s="6" t="s">
        <v>89</v>
      </c>
      <c r="C26" s="6" t="s">
        <v>145</v>
      </c>
      <c r="D26" s="7"/>
      <c r="E26" s="7"/>
      <c r="F26" s="19"/>
      <c r="G26" s="7"/>
      <c r="H26" s="25">
        <f t="shared" si="1"/>
        <v>0</v>
      </c>
      <c r="I26" s="23"/>
    </row>
    <row r="27" spans="1:9" ht="48.75" customHeight="1">
      <c r="A27" s="5">
        <v>2.5</v>
      </c>
      <c r="B27" s="6" t="s">
        <v>22</v>
      </c>
      <c r="C27" s="6" t="s">
        <v>10</v>
      </c>
      <c r="D27" s="19">
        <f>D28</f>
        <v>803000</v>
      </c>
      <c r="E27" s="7">
        <f>E28</f>
        <v>0</v>
      </c>
      <c r="F27" s="19">
        <f>F28</f>
        <v>802590.74</v>
      </c>
      <c r="G27" s="7">
        <f>G28</f>
        <v>0</v>
      </c>
      <c r="H27" s="25">
        <f t="shared" si="1"/>
        <v>409.2600000000093</v>
      </c>
      <c r="I27" s="23"/>
    </row>
    <row r="28" spans="1:9" ht="18" customHeight="1">
      <c r="A28" s="5"/>
      <c r="B28" s="6" t="s">
        <v>90</v>
      </c>
      <c r="C28" s="6" t="s">
        <v>145</v>
      </c>
      <c r="D28" s="19">
        <f>610000+188000+5000</f>
        <v>803000</v>
      </c>
      <c r="E28" s="7"/>
      <c r="F28" s="19">
        <f>442322.11+152080.59+14786.53+54327.2+7078.75+13366.63+39493.9+14.43+16143.86+52093+4630+19263.44-13009.7</f>
        <v>802590.74</v>
      </c>
      <c r="G28" s="7"/>
      <c r="H28" s="25">
        <f t="shared" si="1"/>
        <v>409.2600000000093</v>
      </c>
      <c r="I28" s="23"/>
    </row>
    <row r="29" spans="1:9" ht="25.5" customHeight="1">
      <c r="A29" s="5">
        <v>2.16</v>
      </c>
      <c r="B29" s="6" t="s">
        <v>3</v>
      </c>
      <c r="C29" s="6" t="s">
        <v>18</v>
      </c>
      <c r="D29" s="7">
        <f>D30</f>
        <v>36000</v>
      </c>
      <c r="E29" s="7">
        <f>E30</f>
        <v>0</v>
      </c>
      <c r="F29" s="19">
        <f>F30</f>
        <v>36000</v>
      </c>
      <c r="G29" s="7">
        <f>G30</f>
        <v>0</v>
      </c>
      <c r="H29" s="25">
        <f t="shared" si="1"/>
        <v>0</v>
      </c>
      <c r="I29" s="23"/>
    </row>
    <row r="30" spans="1:9" ht="18.75" customHeight="1">
      <c r="A30" s="5"/>
      <c r="B30" s="6" t="s">
        <v>91</v>
      </c>
      <c r="C30" s="6" t="s">
        <v>145</v>
      </c>
      <c r="D30" s="7">
        <v>36000</v>
      </c>
      <c r="E30" s="7"/>
      <c r="F30" s="19">
        <f>27361.4+3966.78+4671.82</f>
        <v>36000</v>
      </c>
      <c r="G30" s="7"/>
      <c r="H30" s="25">
        <f t="shared" si="1"/>
        <v>0</v>
      </c>
      <c r="I30" s="23"/>
    </row>
    <row r="31" spans="1:9" ht="40.5" customHeight="1">
      <c r="A31" s="5"/>
      <c r="B31" s="11" t="s">
        <v>52</v>
      </c>
      <c r="C31" s="11" t="s">
        <v>66</v>
      </c>
      <c r="D31" s="13">
        <f>D32+D37+D47+D55+D58+D63+D66+D70+D74+D81+D84+D89+D93+D102</f>
        <v>22577878.43</v>
      </c>
      <c r="E31" s="13">
        <f>E32+E37+E47+E55+E58+E63+E66+E70+E74+E81+E84+E89+E93+E102</f>
        <v>0</v>
      </c>
      <c r="F31" s="20">
        <f>F32+F37+F47+F55+F58+F63+F66+F70+F74+F81+F84+F89+F93+F102</f>
        <v>22377950.95</v>
      </c>
      <c r="G31" s="13">
        <f>G32+G37+G47+G55+G58+G63+G66+G70+G74+G81+G84+G89+G93+G102</f>
        <v>0</v>
      </c>
      <c r="H31" s="25">
        <f t="shared" si="1"/>
        <v>199927.48000000045</v>
      </c>
      <c r="I31" s="23"/>
    </row>
    <row r="32" spans="1:9" s="3" customFormat="1" ht="25.5" customHeight="1">
      <c r="A32" s="8">
        <v>2.4</v>
      </c>
      <c r="B32" s="9" t="s">
        <v>179</v>
      </c>
      <c r="C32" s="27" t="s">
        <v>184</v>
      </c>
      <c r="D32" s="10">
        <f>D33+D34+D35+D36</f>
        <v>8000</v>
      </c>
      <c r="E32" s="10">
        <f>E33+E34+E35+E36</f>
        <v>0</v>
      </c>
      <c r="F32" s="21">
        <f>F33+F34+F35+F36</f>
        <v>7579.610000000001</v>
      </c>
      <c r="G32" s="10">
        <f>G33+G34+G35+G36</f>
        <v>0</v>
      </c>
      <c r="H32" s="25">
        <f t="shared" si="1"/>
        <v>420.3899999999994</v>
      </c>
      <c r="I32" s="23"/>
    </row>
    <row r="33" spans="1:9" ht="18.75" customHeight="1">
      <c r="A33" s="5"/>
      <c r="B33" s="6" t="s">
        <v>180</v>
      </c>
      <c r="C33" s="6" t="s">
        <v>146</v>
      </c>
      <c r="D33" s="7"/>
      <c r="E33" s="7"/>
      <c r="F33" s="19"/>
      <c r="G33" s="7"/>
      <c r="H33" s="25">
        <f t="shared" si="1"/>
        <v>0</v>
      </c>
      <c r="I33" s="23"/>
    </row>
    <row r="34" spans="1:9" ht="18.75" customHeight="1">
      <c r="A34" s="5"/>
      <c r="B34" s="6" t="s">
        <v>181</v>
      </c>
      <c r="C34" s="6" t="s">
        <v>147</v>
      </c>
      <c r="D34" s="7"/>
      <c r="E34" s="7"/>
      <c r="F34" s="19"/>
      <c r="G34" s="7"/>
      <c r="H34" s="25">
        <f t="shared" si="1"/>
        <v>0</v>
      </c>
      <c r="I34" s="23"/>
    </row>
    <row r="35" spans="1:9" ht="17.25" customHeight="1">
      <c r="A35" s="5"/>
      <c r="B35" s="6" t="s">
        <v>182</v>
      </c>
      <c r="C35" s="6" t="s">
        <v>148</v>
      </c>
      <c r="D35" s="19">
        <f>3000+2000+1000+2000</f>
        <v>8000</v>
      </c>
      <c r="E35" s="7"/>
      <c r="F35" s="19">
        <f>2781.88+696.4+2292.91+1808.42</f>
        <v>7579.610000000001</v>
      </c>
      <c r="G35" s="7"/>
      <c r="H35" s="25">
        <f t="shared" si="1"/>
        <v>420.3899999999994</v>
      </c>
      <c r="I35" s="23"/>
    </row>
    <row r="36" spans="1:9" ht="18.75" customHeight="1">
      <c r="A36" s="5"/>
      <c r="B36" s="6" t="s">
        <v>183</v>
      </c>
      <c r="C36" s="6" t="s">
        <v>149</v>
      </c>
      <c r="D36" s="7"/>
      <c r="E36" s="7"/>
      <c r="F36" s="19"/>
      <c r="G36" s="7"/>
      <c r="H36" s="25">
        <f t="shared" si="1"/>
        <v>0</v>
      </c>
      <c r="I36" s="23"/>
    </row>
    <row r="37" spans="1:9" s="3" customFormat="1" ht="73.5" customHeight="1">
      <c r="A37" s="8">
        <v>2.5</v>
      </c>
      <c r="B37" s="9" t="s">
        <v>22</v>
      </c>
      <c r="C37" s="9" t="s">
        <v>10</v>
      </c>
      <c r="D37" s="10">
        <f>D38+D39+D40+D41+D42+D43+D45+D46+D44</f>
        <v>1984000</v>
      </c>
      <c r="E37" s="10">
        <f>E38+E39+E40+E41+E42+E43+E45+E46</f>
        <v>0</v>
      </c>
      <c r="F37" s="21">
        <f>F38+F39+F40+F41+F42+F43+F45+F46+F44</f>
        <v>1903603.6500000004</v>
      </c>
      <c r="G37" s="10">
        <f>G38+G39+G40+G41+G42+G43+G45+G46</f>
        <v>0</v>
      </c>
      <c r="H37" s="25">
        <f t="shared" si="1"/>
        <v>80396.34999999963</v>
      </c>
      <c r="I37" s="23"/>
    </row>
    <row r="38" spans="1:9" ht="18" customHeight="1">
      <c r="A38" s="5"/>
      <c r="B38" s="6" t="s">
        <v>92</v>
      </c>
      <c r="C38" s="6" t="s">
        <v>146</v>
      </c>
      <c r="D38" s="19">
        <v>151000</v>
      </c>
      <c r="E38" s="7"/>
      <c r="F38" s="19">
        <f>13409.98+13057.39+12195.38+12148.48+12680.89+40.14+10394.98+585.91+11983.28+12519.86+404.86+12093.86+10827.38+19.28+176.72+8629.41+12415.47+305.61+332</f>
        <v>144220.87999999998</v>
      </c>
      <c r="G38" s="7"/>
      <c r="H38" s="25">
        <f t="shared" si="1"/>
        <v>6779.120000000024</v>
      </c>
      <c r="I38" s="23"/>
    </row>
    <row r="39" spans="1:9" ht="14.25" customHeight="1">
      <c r="A39" s="5"/>
      <c r="B39" s="6" t="s">
        <v>93</v>
      </c>
      <c r="C39" s="6" t="s">
        <v>147</v>
      </c>
      <c r="D39" s="19"/>
      <c r="E39" s="7"/>
      <c r="F39" s="19"/>
      <c r="G39" s="7"/>
      <c r="H39" s="25">
        <f t="shared" si="1"/>
        <v>0</v>
      </c>
      <c r="I39" s="23"/>
    </row>
    <row r="40" spans="1:9" ht="17.25" customHeight="1">
      <c r="A40" s="5"/>
      <c r="B40" s="6" t="s">
        <v>94</v>
      </c>
      <c r="C40" s="6" t="s">
        <v>148</v>
      </c>
      <c r="D40" s="19">
        <f>572000-3000-2000-1000-2000+2000-56000-20000-5000</f>
        <v>485000</v>
      </c>
      <c r="E40" s="7"/>
      <c r="F40" s="19">
        <f>69175.63+43638.03+51502.68+2000+37573.12-16344+2000+18.79+14225.24+2877.32+50.2+244.02+91.35+135.63+2607.71+5000+4514.54+19269.76+2000+2422.13+3180.32+41353.11+2000+50.2+117.45+18.79+313.74+19.44+67.5+51.96+180.4+2000+4517.08+28691.61+200+2000+5000+4278.16+368.88+3000+19.44+216.48+81+51.96+5000+3000+20014.67+14775.04+51.96+252.56+19.44+94.5+1977.7+5000+16358.68+22159.76+6359.66+94.5+252.56+19.44+51.96+5000+1836.82+5000</f>
        <v>448098.92000000004</v>
      </c>
      <c r="G40" s="7"/>
      <c r="H40" s="25">
        <f t="shared" si="1"/>
        <v>36901.07999999996</v>
      </c>
      <c r="I40" s="23"/>
    </row>
    <row r="41" spans="1:9" ht="17.25" customHeight="1">
      <c r="A41" s="5"/>
      <c r="B41" s="6" t="s">
        <v>125</v>
      </c>
      <c r="C41" s="6" t="s">
        <v>150</v>
      </c>
      <c r="D41" s="7"/>
      <c r="E41" s="7"/>
      <c r="F41" s="19"/>
      <c r="G41" s="7"/>
      <c r="H41" s="25">
        <f t="shared" si="1"/>
        <v>0</v>
      </c>
      <c r="I41" s="23"/>
    </row>
    <row r="42" spans="1:9" ht="16.5" customHeight="1">
      <c r="A42" s="5"/>
      <c r="B42" s="6" t="s">
        <v>95</v>
      </c>
      <c r="C42" s="6" t="s">
        <v>149</v>
      </c>
      <c r="D42" s="19">
        <v>565000</v>
      </c>
      <c r="E42" s="7"/>
      <c r="F42" s="19">
        <f>8736.35+146258.13+21666.66+10002+4967.09+2529.34+6562+22075.75+10003+2483.5+10001+4968.1+12182.66+740+28003+31092+13904.46+6562+473.39+2607.71+2877.32+135.63+8903.39+6562+2877.32+2607.71+143.11+17528+6521.95+10003+4967.09+143.11+2607.71+2877.32+2500+1350+300+6562+10002+5464.39+2877.32+143.11+2607.71+10090+24796+6562+76+5003+2316.75+1139.25+143.11+1147.79+2607.71+2877.32+6562+5000+8003+3708.6+143.11+2607.71+2877.32+6562+5003+2316.75</f>
        <v>545921.7500000001</v>
      </c>
      <c r="G42" s="7"/>
      <c r="H42" s="25">
        <f t="shared" si="1"/>
        <v>19078.249999999884</v>
      </c>
      <c r="I42" s="23"/>
    </row>
    <row r="43" spans="1:9" ht="16.5" customHeight="1">
      <c r="A43" s="5"/>
      <c r="B43" s="6" t="s">
        <v>96</v>
      </c>
      <c r="C43" s="6" t="s">
        <v>151</v>
      </c>
      <c r="D43" s="19">
        <f>212000+20000</f>
        <v>232000</v>
      </c>
      <c r="E43" s="7"/>
      <c r="F43" s="19">
        <f>10025.74+64499.69+4075.63+4554+1620+14400+10440+7666.59+4321.38+6562+2200+4960+150.8+1287+800+540+2300+6000+124+4968+10005+3668.07+1100+300+1000+648+562.5+24000+546+3642.96+2500+756+756+2315.92+648+5076+540+5539+5002+5000+4633.68</f>
        <v>229733.96000000002</v>
      </c>
      <c r="G43" s="7"/>
      <c r="H43" s="25">
        <f t="shared" si="1"/>
        <v>2266.039999999979</v>
      </c>
      <c r="I43" s="23"/>
    </row>
    <row r="44" spans="1:9" ht="16.5" customHeight="1">
      <c r="A44" s="5"/>
      <c r="B44" s="6" t="s">
        <v>141</v>
      </c>
      <c r="C44" s="6" t="s">
        <v>154</v>
      </c>
      <c r="D44" s="19">
        <v>15000</v>
      </c>
      <c r="E44" s="7"/>
      <c r="F44" s="19">
        <f>1265.58+200</f>
        <v>1465.58</v>
      </c>
      <c r="G44" s="7"/>
      <c r="H44" s="25">
        <f t="shared" si="1"/>
        <v>13534.42</v>
      </c>
      <c r="I44" s="23"/>
    </row>
    <row r="45" spans="1:9" ht="16.5" customHeight="1">
      <c r="A45" s="5"/>
      <c r="B45" s="6" t="s">
        <v>126</v>
      </c>
      <c r="C45" s="6" t="s">
        <v>152</v>
      </c>
      <c r="D45" s="30">
        <f>50000+6000</f>
        <v>56000</v>
      </c>
      <c r="E45" s="7"/>
      <c r="F45" s="19">
        <f>31560+23550</f>
        <v>55110</v>
      </c>
      <c r="G45" s="7"/>
      <c r="H45" s="25">
        <f t="shared" si="1"/>
        <v>890</v>
      </c>
      <c r="I45" s="23"/>
    </row>
    <row r="46" spans="1:9" ht="16.5" customHeight="1">
      <c r="A46" s="5"/>
      <c r="B46" s="6" t="s">
        <v>127</v>
      </c>
      <c r="C46" s="6" t="s">
        <v>153</v>
      </c>
      <c r="D46" s="19">
        <f>414000+50000+16000</f>
        <v>480000</v>
      </c>
      <c r="E46" s="7"/>
      <c r="F46" s="19">
        <f>23975.8+56159.47+31399.98+6540+5550+5451.62+2474+1950+2868.45+18428+7500+3880+4330+1171+4849+3276.54+3916+14855+4578.7+4900+6380+5466.5+5000+5850+4500+6715.09+2555+6600.39+1611+5780+10437+2660+4500+1630+15000+985+2660+7273.32+521+2179.1+2870+5320+2900+3500+4180+344+10990+490+15922.19+4750+9558.31+10565+7770+15000+5539+899+6155.34+460+2135+3031+5770+15077+1837+10192.76+27440</f>
        <v>479052.56000000006</v>
      </c>
      <c r="G46" s="7"/>
      <c r="H46" s="25">
        <f t="shared" si="1"/>
        <v>947.4399999999441</v>
      </c>
      <c r="I46" s="23"/>
    </row>
    <row r="47" spans="1:9" s="3" customFormat="1" ht="26.25" customHeight="1">
      <c r="A47" s="8">
        <v>2.16</v>
      </c>
      <c r="B47" s="9" t="s">
        <v>3</v>
      </c>
      <c r="C47" s="9" t="s">
        <v>18</v>
      </c>
      <c r="D47" s="10">
        <f>D48+D49+D50+D51+D52+D53+D54</f>
        <v>15700</v>
      </c>
      <c r="E47" s="10">
        <f>E48+E49+E50+E51+E52+E53+E54</f>
        <v>0</v>
      </c>
      <c r="F47" s="21">
        <f>F48+F49+F50+F51+F52+F53+F54</f>
        <v>15700</v>
      </c>
      <c r="G47" s="10">
        <f>G48+G49+G50+G51+G52+G53+G54</f>
        <v>0</v>
      </c>
      <c r="H47" s="25">
        <f t="shared" si="1"/>
        <v>0</v>
      </c>
      <c r="I47" s="23"/>
    </row>
    <row r="48" spans="1:9" ht="18.75" customHeight="1">
      <c r="A48" s="5"/>
      <c r="B48" s="6" t="s">
        <v>99</v>
      </c>
      <c r="C48" s="6" t="s">
        <v>146</v>
      </c>
      <c r="D48" s="7">
        <v>4000</v>
      </c>
      <c r="E48" s="7"/>
      <c r="F48" s="19">
        <f>2000+2000</f>
        <v>4000</v>
      </c>
      <c r="G48" s="7"/>
      <c r="H48" s="25">
        <f t="shared" si="1"/>
        <v>0</v>
      </c>
      <c r="I48" s="23"/>
    </row>
    <row r="49" spans="1:9" ht="17.25" customHeight="1">
      <c r="A49" s="5"/>
      <c r="B49" s="6" t="s">
        <v>100</v>
      </c>
      <c r="C49" s="6" t="s">
        <v>147</v>
      </c>
      <c r="D49" s="7"/>
      <c r="E49" s="7"/>
      <c r="F49" s="19"/>
      <c r="G49" s="7"/>
      <c r="H49" s="25">
        <f t="shared" si="1"/>
        <v>0</v>
      </c>
      <c r="I49" s="23"/>
    </row>
    <row r="50" spans="1:9" ht="16.5" customHeight="1">
      <c r="A50" s="5"/>
      <c r="B50" s="6" t="s">
        <v>101</v>
      </c>
      <c r="C50" s="6" t="s">
        <v>148</v>
      </c>
      <c r="D50" s="7"/>
      <c r="E50" s="7"/>
      <c r="F50" s="19"/>
      <c r="G50" s="7"/>
      <c r="H50" s="25">
        <f t="shared" si="1"/>
        <v>0</v>
      </c>
      <c r="I50" s="23"/>
    </row>
    <row r="51" spans="1:9" ht="17.25" customHeight="1">
      <c r="A51" s="5"/>
      <c r="B51" s="6" t="s">
        <v>102</v>
      </c>
      <c r="C51" s="6" t="s">
        <v>150</v>
      </c>
      <c r="D51" s="7"/>
      <c r="E51" s="7"/>
      <c r="F51" s="19"/>
      <c r="G51" s="7"/>
      <c r="H51" s="25">
        <f t="shared" si="1"/>
        <v>0</v>
      </c>
      <c r="I51" s="23"/>
    </row>
    <row r="52" spans="1:9" ht="17.25" customHeight="1">
      <c r="A52" s="5"/>
      <c r="B52" s="6" t="s">
        <v>128</v>
      </c>
      <c r="C52" s="6" t="s">
        <v>149</v>
      </c>
      <c r="D52" s="7"/>
      <c r="E52" s="7"/>
      <c r="F52" s="19"/>
      <c r="G52" s="7"/>
      <c r="H52" s="25">
        <f t="shared" si="1"/>
        <v>0</v>
      </c>
      <c r="I52" s="23"/>
    </row>
    <row r="53" spans="1:9" ht="17.25" customHeight="1">
      <c r="A53" s="5"/>
      <c r="B53" s="6" t="s">
        <v>129</v>
      </c>
      <c r="C53" s="6" t="s">
        <v>152</v>
      </c>
      <c r="D53" s="7"/>
      <c r="E53" s="7"/>
      <c r="F53" s="19"/>
      <c r="G53" s="7"/>
      <c r="H53" s="25">
        <f t="shared" si="1"/>
        <v>0</v>
      </c>
      <c r="I53" s="23"/>
    </row>
    <row r="54" spans="1:9" ht="17.25" customHeight="1">
      <c r="A54" s="5"/>
      <c r="B54" s="6" t="s">
        <v>130</v>
      </c>
      <c r="C54" s="6" t="s">
        <v>153</v>
      </c>
      <c r="D54" s="7">
        <f>3000+8700</f>
        <v>11700</v>
      </c>
      <c r="E54" s="7"/>
      <c r="F54" s="19">
        <f>6000+1200+4500</f>
        <v>11700</v>
      </c>
      <c r="G54" s="7"/>
      <c r="H54" s="25">
        <f t="shared" si="1"/>
        <v>0</v>
      </c>
      <c r="I54" s="23"/>
    </row>
    <row r="55" spans="1:9" s="3" customFormat="1" ht="48.75" customHeight="1">
      <c r="A55" s="8">
        <v>2.31</v>
      </c>
      <c r="B55" s="9" t="s">
        <v>44</v>
      </c>
      <c r="C55" s="9" t="s">
        <v>1</v>
      </c>
      <c r="D55" s="10">
        <f>D56+D57</f>
        <v>0</v>
      </c>
      <c r="E55" s="10">
        <f>E56+E57</f>
        <v>0</v>
      </c>
      <c r="F55" s="21">
        <f>F56+F57</f>
        <v>0</v>
      </c>
      <c r="G55" s="10">
        <f>G56+G57</f>
        <v>0</v>
      </c>
      <c r="H55" s="25">
        <f t="shared" si="1"/>
        <v>0</v>
      </c>
      <c r="I55" s="23"/>
    </row>
    <row r="56" spans="1:9" ht="16.5" customHeight="1">
      <c r="A56" s="5"/>
      <c r="B56" s="6" t="s">
        <v>97</v>
      </c>
      <c r="C56" s="6" t="s">
        <v>149</v>
      </c>
      <c r="D56" s="7">
        <f>200000-115000-15000-15000-20000-35000</f>
        <v>0</v>
      </c>
      <c r="E56" s="7"/>
      <c r="F56" s="19"/>
      <c r="G56" s="7"/>
      <c r="H56" s="25">
        <f t="shared" si="1"/>
        <v>0</v>
      </c>
      <c r="I56" s="23"/>
    </row>
    <row r="57" spans="1:9" ht="17.25" customHeight="1">
      <c r="A57" s="5"/>
      <c r="B57" s="6" t="s">
        <v>98</v>
      </c>
      <c r="C57" s="6" t="s">
        <v>151</v>
      </c>
      <c r="D57" s="7"/>
      <c r="E57" s="7"/>
      <c r="F57" s="19"/>
      <c r="G57" s="7"/>
      <c r="H57" s="25">
        <f t="shared" si="1"/>
        <v>0</v>
      </c>
      <c r="I57" s="23"/>
    </row>
    <row r="58" spans="1:9" s="3" customFormat="1" ht="25.5" customHeight="1">
      <c r="A58" s="8">
        <v>2.44</v>
      </c>
      <c r="B58" s="9" t="s">
        <v>19</v>
      </c>
      <c r="C58" s="9" t="s">
        <v>28</v>
      </c>
      <c r="D58" s="10">
        <f>D59+D60+D62+D61</f>
        <v>5386632</v>
      </c>
      <c r="E58" s="10">
        <f>E60+E61</f>
        <v>0</v>
      </c>
      <c r="F58" s="21">
        <f>F59+F60+F61+F62</f>
        <v>5350498.2700000005</v>
      </c>
      <c r="G58" s="10">
        <f>G60+G61</f>
        <v>0</v>
      </c>
      <c r="H58" s="25">
        <f t="shared" si="1"/>
        <v>36133.729999999516</v>
      </c>
      <c r="I58" s="23"/>
    </row>
    <row r="59" spans="1:9" s="3" customFormat="1" ht="20.25" customHeight="1">
      <c r="A59" s="8"/>
      <c r="B59" s="6" t="s">
        <v>177</v>
      </c>
      <c r="C59" s="6" t="s">
        <v>147</v>
      </c>
      <c r="D59" s="26">
        <f>2000</f>
        <v>2000</v>
      </c>
      <c r="E59" s="10"/>
      <c r="F59" s="28">
        <v>1910.01</v>
      </c>
      <c r="G59" s="10"/>
      <c r="H59" s="25">
        <f t="shared" si="1"/>
        <v>89.99000000000001</v>
      </c>
      <c r="I59" s="23"/>
    </row>
    <row r="60" spans="1:9" ht="18" customHeight="1">
      <c r="A60" s="5"/>
      <c r="B60" s="6" t="s">
        <v>103</v>
      </c>
      <c r="C60" s="6" t="s">
        <v>149</v>
      </c>
      <c r="D60" s="7">
        <f>1187000+200000-32000+1500000+2565458+1401709-1200000-347535-370000+15000+65000-10000</f>
        <v>4974632</v>
      </c>
      <c r="E60" s="7"/>
      <c r="F60" s="19">
        <f>95491+262153.74+97008+97500+50000+3855.03+554.06+448.97+676031.29+40000+2231940.73+1070.51+318.66+1069375.45+318315.82</f>
        <v>4944063.260000001</v>
      </c>
      <c r="G60" s="7"/>
      <c r="H60" s="25">
        <f t="shared" si="1"/>
        <v>30568.739999999292</v>
      </c>
      <c r="I60" s="23"/>
    </row>
    <row r="61" spans="1:9" ht="17.25" customHeight="1">
      <c r="A61" s="5"/>
      <c r="B61" s="6" t="s">
        <v>104</v>
      </c>
      <c r="C61" s="6" t="s">
        <v>151</v>
      </c>
      <c r="D61" s="30">
        <f>10000</f>
        <v>10000</v>
      </c>
      <c r="E61" s="7"/>
      <c r="F61" s="19">
        <f>10000</f>
        <v>10000</v>
      </c>
      <c r="G61" s="7"/>
      <c r="H61" s="25">
        <f t="shared" si="1"/>
        <v>0</v>
      </c>
      <c r="I61" s="23"/>
    </row>
    <row r="62" spans="1:9" ht="17.25" customHeight="1">
      <c r="A62" s="5"/>
      <c r="B62" s="6" t="s">
        <v>171</v>
      </c>
      <c r="C62" s="6" t="s">
        <v>153</v>
      </c>
      <c r="D62" s="19">
        <f>30000+370000</f>
        <v>400000</v>
      </c>
      <c r="E62" s="7"/>
      <c r="F62" s="19">
        <f>26525+368000</f>
        <v>394525</v>
      </c>
      <c r="G62" s="7"/>
      <c r="H62" s="25">
        <f t="shared" si="1"/>
        <v>5475</v>
      </c>
      <c r="I62" s="23"/>
    </row>
    <row r="63" spans="1:9" s="3" customFormat="1" ht="25.5" customHeight="1">
      <c r="A63" s="8">
        <v>2.47</v>
      </c>
      <c r="B63" s="9" t="s">
        <v>11</v>
      </c>
      <c r="C63" s="9" t="s">
        <v>35</v>
      </c>
      <c r="D63" s="10">
        <f>D64+D65</f>
        <v>3967446.43</v>
      </c>
      <c r="E63" s="10">
        <f>E64</f>
        <v>0</v>
      </c>
      <c r="F63" s="21">
        <f>F65+F64</f>
        <v>3963436.59</v>
      </c>
      <c r="G63" s="10">
        <f>G64</f>
        <v>0</v>
      </c>
      <c r="H63" s="25">
        <f t="shared" si="1"/>
        <v>4009.8400000003166</v>
      </c>
      <c r="I63" s="23"/>
    </row>
    <row r="64" spans="1:11" ht="19.5" customHeight="1">
      <c r="A64" s="5"/>
      <c r="B64" s="6" t="s">
        <v>176</v>
      </c>
      <c r="C64" s="6" t="s">
        <v>149</v>
      </c>
      <c r="D64" s="7">
        <f>4636200+515200+5000-5000-1059400-125000-65000-148000+17000</f>
        <v>3771000</v>
      </c>
      <c r="E64" s="7"/>
      <c r="F64" s="19">
        <f>199118.32+1792180+142611.12+1636540</f>
        <v>3770449.44</v>
      </c>
      <c r="G64" s="7"/>
      <c r="H64" s="25">
        <f t="shared" si="1"/>
        <v>550.5600000000559</v>
      </c>
      <c r="I64" s="23"/>
      <c r="J64">
        <v>3576800</v>
      </c>
      <c r="K64" s="23">
        <f>F64</f>
        <v>3770449.44</v>
      </c>
    </row>
    <row r="65" spans="1:9" ht="19.5" customHeight="1">
      <c r="A65" s="5"/>
      <c r="B65" s="6" t="s">
        <v>178</v>
      </c>
      <c r="C65" s="6" t="s">
        <v>151</v>
      </c>
      <c r="D65" s="19">
        <f>7500+5000+7000+946.43+5000-2000+45000+125000+20000-17000</f>
        <v>196446.43</v>
      </c>
      <c r="E65" s="7"/>
      <c r="F65" s="19">
        <f>11941.09+10997.25+42524.4+10000+75000+42524.41</f>
        <v>192987.15</v>
      </c>
      <c r="G65" s="7"/>
      <c r="H65" s="25">
        <f t="shared" si="1"/>
        <v>3459.279999999999</v>
      </c>
      <c r="I65" s="23"/>
    </row>
    <row r="66" spans="1:9" s="3" customFormat="1" ht="25.5" customHeight="1">
      <c r="A66" s="8">
        <v>2.48</v>
      </c>
      <c r="B66" s="9" t="s">
        <v>4</v>
      </c>
      <c r="C66" s="9" t="s">
        <v>16</v>
      </c>
      <c r="D66" s="10">
        <f>D67+D68+D69</f>
        <v>313000</v>
      </c>
      <c r="E66" s="10">
        <f>E67+E68+E69</f>
        <v>0</v>
      </c>
      <c r="F66" s="21">
        <f>F67+F68+F69</f>
        <v>305428.68999999994</v>
      </c>
      <c r="G66" s="10">
        <f>G67+G68+G69</f>
        <v>0</v>
      </c>
      <c r="H66" s="25">
        <f t="shared" si="1"/>
        <v>7571.310000000056</v>
      </c>
      <c r="I66" s="23"/>
    </row>
    <row r="67" spans="1:9" ht="17.25" customHeight="1">
      <c r="A67" s="5"/>
      <c r="B67" s="6" t="s">
        <v>105</v>
      </c>
      <c r="C67" s="6" t="s">
        <v>149</v>
      </c>
      <c r="D67" s="7">
        <f>50000-5000-45000</f>
        <v>0</v>
      </c>
      <c r="E67" s="7"/>
      <c r="F67" s="19"/>
      <c r="G67" s="7"/>
      <c r="H67" s="25">
        <f t="shared" si="1"/>
        <v>0</v>
      </c>
      <c r="I67" s="23"/>
    </row>
    <row r="68" spans="1:11" ht="17.25" customHeight="1">
      <c r="A68" s="5"/>
      <c r="B68" s="6" t="s">
        <v>106</v>
      </c>
      <c r="C68" s="6" t="s">
        <v>151</v>
      </c>
      <c r="D68" s="7">
        <f>300000-7000-5000-10000-190000-75000</f>
        <v>13000</v>
      </c>
      <c r="E68" s="7"/>
      <c r="F68" s="19">
        <f>11052</f>
        <v>11052</v>
      </c>
      <c r="G68" s="7"/>
      <c r="H68" s="25">
        <f t="shared" si="1"/>
        <v>1948</v>
      </c>
      <c r="I68" s="23"/>
      <c r="K68" s="23"/>
    </row>
    <row r="69" spans="1:9" ht="18" customHeight="1">
      <c r="A69" s="5"/>
      <c r="B69" s="6" t="s">
        <v>131</v>
      </c>
      <c r="C69" s="6" t="s">
        <v>154</v>
      </c>
      <c r="D69" s="7">
        <f>315000-15000</f>
        <v>300000</v>
      </c>
      <c r="E69" s="7"/>
      <c r="F69" s="19">
        <f>37002.24+111006.72+49336.32+37002.24+12334.08+11560.09+12045+12045+12045</f>
        <v>294376.68999999994</v>
      </c>
      <c r="G69" s="7"/>
      <c r="H69" s="25">
        <f t="shared" si="1"/>
        <v>5623.310000000056</v>
      </c>
      <c r="I69" s="23"/>
    </row>
    <row r="70" spans="1:9" s="3" customFormat="1" ht="25.5" customHeight="1">
      <c r="A70" s="8">
        <v>2.49</v>
      </c>
      <c r="B70" s="9" t="s">
        <v>12</v>
      </c>
      <c r="C70" s="9" t="s">
        <v>14</v>
      </c>
      <c r="D70" s="21">
        <f>D71+D72+D73</f>
        <v>1540000</v>
      </c>
      <c r="E70" s="10">
        <f>E71+E72+E73</f>
        <v>0</v>
      </c>
      <c r="F70" s="21">
        <f>F71+F72+F73</f>
        <v>1529156.93</v>
      </c>
      <c r="G70" s="10">
        <f>G71+G72+G73</f>
        <v>0</v>
      </c>
      <c r="H70" s="25">
        <f t="shared" si="1"/>
        <v>10843.070000000065</v>
      </c>
      <c r="I70" s="23"/>
    </row>
    <row r="71" spans="1:9" ht="21" customHeight="1">
      <c r="A71" s="5"/>
      <c r="B71" s="6" t="s">
        <v>108</v>
      </c>
      <c r="C71" s="6" t="s">
        <v>149</v>
      </c>
      <c r="D71" s="19">
        <f>40000+100000+100000+250000+700000+145000</f>
        <v>1335000</v>
      </c>
      <c r="E71" s="7"/>
      <c r="F71" s="19">
        <f>35917.98+99415.96+99573+79437+75201+99607+684553+92763+64552</f>
        <v>1331019.94</v>
      </c>
      <c r="G71" s="7"/>
      <c r="H71" s="25">
        <f t="shared" si="1"/>
        <v>3980.060000000056</v>
      </c>
      <c r="I71" s="23"/>
    </row>
    <row r="72" spans="1:9" ht="18.75" customHeight="1">
      <c r="A72" s="5"/>
      <c r="B72" s="6" t="s">
        <v>109</v>
      </c>
      <c r="C72" s="6" t="s">
        <v>151</v>
      </c>
      <c r="D72" s="19">
        <f>1700000+315000-40000-100000-1500000-100000-105000</f>
        <v>170000</v>
      </c>
      <c r="E72" s="7"/>
      <c r="F72" s="19">
        <f>29648+12140+37130+5000+9368+5930.99+5000+35000+25000</f>
        <v>164216.99</v>
      </c>
      <c r="G72" s="7"/>
      <c r="H72" s="25">
        <f t="shared" si="1"/>
        <v>5783.010000000009</v>
      </c>
      <c r="I72" s="23"/>
    </row>
    <row r="73" spans="1:9" ht="18.75" customHeight="1">
      <c r="A73" s="5"/>
      <c r="B73" s="6" t="s">
        <v>132</v>
      </c>
      <c r="C73" s="6" t="s">
        <v>152</v>
      </c>
      <c r="D73" s="19">
        <f>100000-40000-25000</f>
        <v>35000</v>
      </c>
      <c r="E73" s="7"/>
      <c r="F73" s="19">
        <f>33920</f>
        <v>33920</v>
      </c>
      <c r="G73" s="7"/>
      <c r="H73" s="25">
        <f aca="true" t="shared" si="3" ref="H73:H138">D73-F73</f>
        <v>1080</v>
      </c>
      <c r="I73" s="23"/>
    </row>
    <row r="74" spans="1:9" s="3" customFormat="1" ht="25.5" customHeight="1">
      <c r="A74" s="8">
        <v>2.5</v>
      </c>
      <c r="B74" s="9" t="s">
        <v>32</v>
      </c>
      <c r="C74" s="9" t="s">
        <v>37</v>
      </c>
      <c r="D74" s="10">
        <f>D75+D76+D77+D78+D79+D80</f>
        <v>6390100</v>
      </c>
      <c r="E74" s="10">
        <f>E75+E76+E77+E78+E79+E80</f>
        <v>0</v>
      </c>
      <c r="F74" s="21">
        <f>F75+F76+F77+F78+F79+F80</f>
        <v>6379174.899999999</v>
      </c>
      <c r="G74" s="10">
        <f>G75+G76+G77+G78+G79+G80</f>
        <v>0</v>
      </c>
      <c r="H74" s="25">
        <f t="shared" si="3"/>
        <v>10925.100000000559</v>
      </c>
      <c r="I74" s="23"/>
    </row>
    <row r="75" spans="1:9" ht="20.25" customHeight="1">
      <c r="A75" s="5"/>
      <c r="B75" s="6" t="s">
        <v>133</v>
      </c>
      <c r="C75" s="6" t="s">
        <v>147</v>
      </c>
      <c r="D75" s="19">
        <f>150000-20000-20000-105000</f>
        <v>5000</v>
      </c>
      <c r="E75" s="7"/>
      <c r="F75" s="19">
        <v>4400</v>
      </c>
      <c r="G75" s="7"/>
      <c r="H75" s="25">
        <f t="shared" si="3"/>
        <v>600</v>
      </c>
      <c r="I75" s="23"/>
    </row>
    <row r="76" spans="1:9" ht="18.75" customHeight="1">
      <c r="A76" s="5"/>
      <c r="B76" s="6" t="s">
        <v>111</v>
      </c>
      <c r="C76" s="6" t="s">
        <v>148</v>
      </c>
      <c r="D76" s="19">
        <f>2601000+298300-160000+305000+120000+75000+135000</f>
        <v>3374300</v>
      </c>
      <c r="E76" s="7"/>
      <c r="F76" s="19">
        <f>583976.75+347952.26+306577.1+45733.94+228849.74+14400+31339.01+141018.99+91738.02+50142.49+51002.51+67495.44+45682.29+109336.54+83977.27+56475.84+91471.57+87812.66+70097.47+138156.53+33145+56969.28+125499.84+103581.7+982.63+90377.73+156150.44+147650.34+16606.47</f>
        <v>3374199.849999999</v>
      </c>
      <c r="G76" s="7"/>
      <c r="H76" s="25">
        <f t="shared" si="3"/>
        <v>100.15000000083819</v>
      </c>
      <c r="I76" s="23"/>
    </row>
    <row r="77" spans="1:9" ht="17.25" customHeight="1">
      <c r="A77" s="5"/>
      <c r="B77" s="6" t="s">
        <v>110</v>
      </c>
      <c r="C77" s="6" t="s">
        <v>149</v>
      </c>
      <c r="D77" s="19">
        <f>1621300+15000+170000-65000-36000-40000-250000-5000+20000+55000+550000+140000-50000-75000</f>
        <v>2050300</v>
      </c>
      <c r="E77" s="7"/>
      <c r="F77" s="19">
        <f>28868.44+44444.83+191522.41+22002+10664.94+18979+46856+26136+21390+10103+20206+38002+18869.37+46856+23417+4154.4+19113+10103+36993+18374.38+22886.68+8876+2501+99120+40291+39705+35367+173634+5996.98+1041.95+2500+116312+69004.68+22001.21+132543+2501+1239.95+50055+2500+85688+3500+1241.95+152415.43+63503+2501+1157.6+2500+10427.6+57215+2501+53280+1157.61+80005+45718</f>
        <v>2047942.4100000001</v>
      </c>
      <c r="G77" s="7"/>
      <c r="H77" s="25">
        <f t="shared" si="3"/>
        <v>2357.589999999851</v>
      </c>
      <c r="I77" s="23"/>
    </row>
    <row r="78" spans="1:9" ht="20.25" customHeight="1">
      <c r="A78" s="5"/>
      <c r="B78" s="6" t="s">
        <v>112</v>
      </c>
      <c r="C78" s="6" t="s">
        <v>151</v>
      </c>
      <c r="D78" s="19">
        <f>88000-7500-30000+40000+160000+5000+25000+100000+10000</f>
        <v>390500</v>
      </c>
      <c r="E78" s="7"/>
      <c r="F78" s="19">
        <f>19299.18+631.48+381+4954+4988.93+10103+530+262.92+48563+2999+1489.16+3002+50000+99999+6577+247.35+500+3056+1517.93+20000+4028+3738.2+21624+10016.42+988.45+20010+14400+6428+2978.2+316+19500+4000+146.1</f>
        <v>387274.31999999995</v>
      </c>
      <c r="G78" s="7"/>
      <c r="H78" s="25">
        <f t="shared" si="3"/>
        <v>3225.680000000051</v>
      </c>
      <c r="I78" s="23"/>
    </row>
    <row r="79" spans="1:9" ht="20.25" customHeight="1">
      <c r="A79" s="5"/>
      <c r="B79" s="6" t="s">
        <v>134</v>
      </c>
      <c r="C79" s="6" t="s">
        <v>152</v>
      </c>
      <c r="D79" s="19">
        <f>50000+500000-120000</f>
        <v>430000</v>
      </c>
      <c r="E79" s="7"/>
      <c r="F79" s="19">
        <f>427806.52</f>
        <v>427806.52</v>
      </c>
      <c r="G79" s="7"/>
      <c r="H79" s="25">
        <f t="shared" si="3"/>
        <v>2193.4799999999814</v>
      </c>
      <c r="I79" s="23"/>
    </row>
    <row r="80" spans="1:9" ht="20.25" customHeight="1">
      <c r="A80" s="5"/>
      <c r="B80" s="6" t="s">
        <v>135</v>
      </c>
      <c r="C80" s="6" t="s">
        <v>153</v>
      </c>
      <c r="D80" s="19">
        <f>300000-150000-10000</f>
        <v>140000</v>
      </c>
      <c r="E80" s="7"/>
      <c r="F80" s="19">
        <f>16174.7+32590+31535+5577.6+2208+3198.5+7724+190+3957+11226+10000+3456+9715</f>
        <v>137551.8</v>
      </c>
      <c r="G80" s="7"/>
      <c r="H80" s="25">
        <f t="shared" si="3"/>
        <v>2448.2000000000116</v>
      </c>
      <c r="I80" s="23"/>
    </row>
    <row r="81" spans="1:9" s="3" customFormat="1" ht="25.5" customHeight="1">
      <c r="A81" s="8">
        <v>2.52</v>
      </c>
      <c r="B81" s="9" t="s">
        <v>8</v>
      </c>
      <c r="C81" s="9" t="s">
        <v>26</v>
      </c>
      <c r="D81" s="21">
        <f>D82+D83</f>
        <v>0</v>
      </c>
      <c r="E81" s="10">
        <f>E82+E83</f>
        <v>0</v>
      </c>
      <c r="F81" s="21">
        <f>F82+F83</f>
        <v>0</v>
      </c>
      <c r="G81" s="10">
        <f>G82+G83</f>
        <v>0</v>
      </c>
      <c r="H81" s="25">
        <f t="shared" si="3"/>
        <v>0</v>
      </c>
      <c r="I81" s="23"/>
    </row>
    <row r="82" spans="1:9" ht="17.25" customHeight="1">
      <c r="A82" s="5"/>
      <c r="B82" s="6" t="s">
        <v>113</v>
      </c>
      <c r="C82" s="6" t="s">
        <v>149</v>
      </c>
      <c r="D82" s="19">
        <f>20000-20000</f>
        <v>0</v>
      </c>
      <c r="E82" s="7"/>
      <c r="F82" s="19">
        <f>17345.29-17345.29</f>
        <v>0</v>
      </c>
      <c r="G82" s="7"/>
      <c r="H82" s="25">
        <f t="shared" si="3"/>
        <v>0</v>
      </c>
      <c r="I82" s="23"/>
    </row>
    <row r="83" spans="1:9" ht="17.25" customHeight="1">
      <c r="A83" s="5"/>
      <c r="B83" s="6" t="s">
        <v>114</v>
      </c>
      <c r="C83" s="6" t="s">
        <v>151</v>
      </c>
      <c r="D83" s="29">
        <f>30000+65000+10000+10000+15000-130000</f>
        <v>0</v>
      </c>
      <c r="E83" s="7"/>
      <c r="F83" s="19">
        <f>27708+64652+12000+10000+15000-129360</f>
        <v>0</v>
      </c>
      <c r="G83" s="7"/>
      <c r="H83" s="25">
        <f t="shared" si="3"/>
        <v>0</v>
      </c>
      <c r="I83" s="23"/>
    </row>
    <row r="84" spans="1:9" s="3" customFormat="1" ht="25.5" customHeight="1">
      <c r="A84" s="8">
        <v>2.58</v>
      </c>
      <c r="B84" s="9" t="s">
        <v>36</v>
      </c>
      <c r="C84" s="9" t="s">
        <v>38</v>
      </c>
      <c r="D84" s="20"/>
      <c r="E84" s="10">
        <f>E85+E86+E88</f>
        <v>0</v>
      </c>
      <c r="F84" s="20"/>
      <c r="G84" s="10">
        <f>G85+G86+G88</f>
        <v>0</v>
      </c>
      <c r="H84" s="25">
        <f t="shared" si="3"/>
        <v>0</v>
      </c>
      <c r="I84" s="23"/>
    </row>
    <row r="85" spans="1:9" ht="19.5" customHeight="1">
      <c r="A85" s="5"/>
      <c r="B85" s="6" t="s">
        <v>115</v>
      </c>
      <c r="C85" s="6" t="s">
        <v>148</v>
      </c>
      <c r="D85" s="7"/>
      <c r="E85" s="7"/>
      <c r="F85" s="19"/>
      <c r="G85" s="7"/>
      <c r="H85" s="25">
        <f t="shared" si="3"/>
        <v>0</v>
      </c>
      <c r="I85" s="23"/>
    </row>
    <row r="86" spans="1:9" ht="16.5" customHeight="1">
      <c r="A86" s="5"/>
      <c r="B86" s="6" t="s">
        <v>116</v>
      </c>
      <c r="C86" s="6" t="s">
        <v>149</v>
      </c>
      <c r="D86" s="7"/>
      <c r="E86" s="7"/>
      <c r="F86" s="19"/>
      <c r="G86" s="7"/>
      <c r="H86" s="25">
        <f t="shared" si="3"/>
        <v>0</v>
      </c>
      <c r="I86" s="23"/>
    </row>
    <row r="87" spans="1:9" ht="16.5" customHeight="1">
      <c r="A87" s="5"/>
      <c r="B87" s="6" t="s">
        <v>166</v>
      </c>
      <c r="C87" s="6" t="s">
        <v>154</v>
      </c>
      <c r="D87" s="7"/>
      <c r="E87" s="7"/>
      <c r="F87" s="19"/>
      <c r="G87" s="7"/>
      <c r="H87" s="25">
        <f t="shared" si="3"/>
        <v>0</v>
      </c>
      <c r="I87" s="23"/>
    </row>
    <row r="88" spans="1:9" ht="16.5" customHeight="1">
      <c r="A88" s="5"/>
      <c r="B88" s="6" t="s">
        <v>117</v>
      </c>
      <c r="C88" s="6" t="s">
        <v>153</v>
      </c>
      <c r="D88" s="7"/>
      <c r="E88" s="7"/>
      <c r="F88" s="19"/>
      <c r="G88" s="7"/>
      <c r="H88" s="25">
        <f t="shared" si="3"/>
        <v>0</v>
      </c>
      <c r="I88" s="23"/>
    </row>
    <row r="89" spans="1:10" s="3" customFormat="1" ht="25.5" customHeight="1">
      <c r="A89" s="8">
        <v>2.59</v>
      </c>
      <c r="B89" s="9" t="s">
        <v>41</v>
      </c>
      <c r="C89" s="9" t="s">
        <v>17</v>
      </c>
      <c r="D89" s="21">
        <f>D90+D91+D92</f>
        <v>0</v>
      </c>
      <c r="E89" s="10">
        <f>+E90</f>
        <v>0</v>
      </c>
      <c r="F89" s="21">
        <f>F90+F91+F92</f>
        <v>0</v>
      </c>
      <c r="G89" s="10">
        <f>G90</f>
        <v>0</v>
      </c>
      <c r="H89" s="25">
        <f t="shared" si="3"/>
        <v>0</v>
      </c>
      <c r="I89" s="23"/>
      <c r="J89" s="24"/>
    </row>
    <row r="90" spans="1:9" ht="16.5" customHeight="1">
      <c r="A90" s="5"/>
      <c r="B90" s="6" t="s">
        <v>118</v>
      </c>
      <c r="C90" s="6" t="s">
        <v>151</v>
      </c>
      <c r="D90" s="19"/>
      <c r="E90" s="7"/>
      <c r="F90" s="19"/>
      <c r="G90" s="7"/>
      <c r="H90" s="25">
        <f t="shared" si="3"/>
        <v>0</v>
      </c>
      <c r="I90" s="23"/>
    </row>
    <row r="91" spans="1:9" ht="17.25" customHeight="1">
      <c r="A91" s="5"/>
      <c r="B91" s="6" t="s">
        <v>172</v>
      </c>
      <c r="C91" s="6" t="s">
        <v>152</v>
      </c>
      <c r="D91" s="19"/>
      <c r="E91" s="7"/>
      <c r="F91" s="19"/>
      <c r="G91" s="7"/>
      <c r="H91" s="25">
        <f t="shared" si="3"/>
        <v>0</v>
      </c>
      <c r="I91" s="23"/>
    </row>
    <row r="92" spans="1:9" ht="17.25" customHeight="1">
      <c r="A92" s="5"/>
      <c r="B92" s="6" t="s">
        <v>173</v>
      </c>
      <c r="C92" s="6" t="s">
        <v>153</v>
      </c>
      <c r="D92" s="7"/>
      <c r="E92" s="7"/>
      <c r="F92" s="19"/>
      <c r="G92" s="7"/>
      <c r="H92" s="25">
        <f t="shared" si="3"/>
        <v>0</v>
      </c>
      <c r="I92" s="23"/>
    </row>
    <row r="93" spans="1:10" s="3" customFormat="1" ht="25.5" customHeight="1">
      <c r="A93" s="8">
        <v>2.66</v>
      </c>
      <c r="B93" s="9" t="s">
        <v>27</v>
      </c>
      <c r="C93" s="9" t="s">
        <v>43</v>
      </c>
      <c r="D93" s="21">
        <f>D94+D96+D97+D98+D100+D101+D99+D95</f>
        <v>2873000</v>
      </c>
      <c r="E93" s="10">
        <f>E94+E96+E97+E98+E100+E101</f>
        <v>0</v>
      </c>
      <c r="F93" s="21">
        <f>F94+F96+F97+F98+F100+F101+F99+F95</f>
        <v>2832298.31</v>
      </c>
      <c r="G93" s="10">
        <f>G94+G96+G97+G98+G100+G101</f>
        <v>0</v>
      </c>
      <c r="H93" s="25">
        <f t="shared" si="3"/>
        <v>40701.689999999944</v>
      </c>
      <c r="I93" s="23"/>
      <c r="J93" s="24"/>
    </row>
    <row r="94" spans="1:9" ht="18" customHeight="1">
      <c r="A94" s="5"/>
      <c r="B94" s="6" t="s">
        <v>119</v>
      </c>
      <c r="C94" s="6" t="s">
        <v>146</v>
      </c>
      <c r="D94" s="19">
        <v>50000</v>
      </c>
      <c r="E94" s="7"/>
      <c r="F94" s="19">
        <f>3474.34+3548.16+3539.62+3537.66+3438.82+3561.11+3530.06+3569.92+4931.83+5360.04+5162.06+3569.35</f>
        <v>47222.97</v>
      </c>
      <c r="G94" s="7"/>
      <c r="H94" s="25">
        <f t="shared" si="3"/>
        <v>2777.029999999999</v>
      </c>
      <c r="I94" s="23"/>
    </row>
    <row r="95" spans="1:9" ht="18" customHeight="1">
      <c r="A95" s="5"/>
      <c r="B95" s="6" t="s">
        <v>190</v>
      </c>
      <c r="C95" s="6" t="s">
        <v>147</v>
      </c>
      <c r="D95" s="19">
        <f>1000</f>
        <v>1000</v>
      </c>
      <c r="E95" s="7"/>
      <c r="F95" s="19">
        <v>220</v>
      </c>
      <c r="G95" s="7"/>
      <c r="H95" s="25">
        <f t="shared" si="3"/>
        <v>780</v>
      </c>
      <c r="I95" s="23"/>
    </row>
    <row r="96" spans="1:9" ht="18" customHeight="1">
      <c r="A96" s="5"/>
      <c r="B96" s="6" t="s">
        <v>120</v>
      </c>
      <c r="C96" s="6" t="s">
        <v>148</v>
      </c>
      <c r="D96" s="19">
        <f>885000-1000-2000-15000</f>
        <v>867000</v>
      </c>
      <c r="E96" s="7"/>
      <c r="F96" s="19">
        <f>159506.55+139783.5+30862.38+78949.8+10573+60116.93+53158.36+1944+10000+418.32+156.6+49935.22+10000+862.19+10463.6+10000+130.5+348.6+1948.32+729+8000+8000+5000+594.96+3000+202.5+541.2+5000+982.63+3000+613.36+48471.69+229.5+21443.3+10000-982.63+189+69394.76+505.12+10000+12019.4+10000</f>
        <v>846091.6599999998</v>
      </c>
      <c r="G96" s="7"/>
      <c r="H96" s="25">
        <f t="shared" si="3"/>
        <v>20908.3400000002</v>
      </c>
      <c r="I96" s="23"/>
    </row>
    <row r="97" spans="1:9" ht="20.25" customHeight="1">
      <c r="A97" s="5"/>
      <c r="B97" s="6" t="s">
        <v>121</v>
      </c>
      <c r="C97" s="6" t="s">
        <v>149</v>
      </c>
      <c r="D97" s="19">
        <f>716000+10000</f>
        <v>726000</v>
      </c>
      <c r="E97" s="7"/>
      <c r="F97" s="19">
        <f>16605.56+78044.53+16963+9664+4798.62+1065.68+1065.68+2500+1065.68+7600+9664+4798.62+2500+4200+1065.68+9664+5247.64+1065.68+25001+9664+4798.62+1065.68+4798.62+1124.42+7600+9664+12600+59856+18564+7000+58000+55000+13502+40020+20000+4798.62+1124.42+4200+4200+9664+9206.97+1124.42+4200+17500+9664+4798.62+1124.42+2500+4200+2851.47+6485+9664+4798.62+1124.42+4200+2500+2500+9664+50204.65+16400+5196.17+4798.62</f>
        <v>724529.1300000001</v>
      </c>
      <c r="G97" s="7"/>
      <c r="H97" s="25">
        <f t="shared" si="3"/>
        <v>1470.869999999879</v>
      </c>
      <c r="I97" s="23"/>
    </row>
    <row r="98" spans="1:9" ht="19.5" customHeight="1">
      <c r="A98" s="5"/>
      <c r="B98" s="6" t="s">
        <v>122</v>
      </c>
      <c r="C98" s="6" t="s">
        <v>151</v>
      </c>
      <c r="D98" s="19">
        <f>931000-6000-5000-70000</f>
        <v>850000</v>
      </c>
      <c r="E98" s="7"/>
      <c r="F98" s="19">
        <f>8598.24+131419.55+41049.21+26096+12953.59+26092+12957.58+50000+26092+12508.57+120000+26092+25372.15+5500+12953.59+26096+33592+42679.19+26092+43259.17+1095+26092+12957.58+450+26096+12953.58+26092+3125+3650+9000+17426.79</f>
        <v>848340.7899999999</v>
      </c>
      <c r="G98" s="7"/>
      <c r="H98" s="25">
        <f t="shared" si="3"/>
        <v>1659.2100000000792</v>
      </c>
      <c r="I98" s="23"/>
    </row>
    <row r="99" spans="1:9" ht="19.5" customHeight="1">
      <c r="A99" s="5"/>
      <c r="B99" s="6" t="s">
        <v>142</v>
      </c>
      <c r="C99" s="6" t="s">
        <v>154</v>
      </c>
      <c r="D99" s="19">
        <f>1000+6000+5000</f>
        <v>12000</v>
      </c>
      <c r="E99" s="7"/>
      <c r="F99" s="19">
        <f>800+5644.7+5000</f>
        <v>11444.7</v>
      </c>
      <c r="G99" s="7"/>
      <c r="H99" s="25">
        <f t="shared" si="3"/>
        <v>555.2999999999993</v>
      </c>
      <c r="I99" s="23"/>
    </row>
    <row r="100" spans="1:9" ht="18.75" customHeight="1">
      <c r="A100" s="5"/>
      <c r="B100" s="6" t="s">
        <v>123</v>
      </c>
      <c r="C100" s="6" t="s">
        <v>152</v>
      </c>
      <c r="D100" s="19">
        <f>15000</f>
        <v>15000</v>
      </c>
      <c r="E100" s="7"/>
      <c r="F100" s="19">
        <f>14990</f>
        <v>14990</v>
      </c>
      <c r="G100" s="7"/>
      <c r="H100" s="25">
        <f t="shared" si="3"/>
        <v>10</v>
      </c>
      <c r="I100" s="23"/>
    </row>
    <row r="101" spans="1:9" ht="18.75" customHeight="1">
      <c r="A101" s="5"/>
      <c r="B101" s="6" t="s">
        <v>124</v>
      </c>
      <c r="C101" s="6" t="s">
        <v>153</v>
      </c>
      <c r="D101" s="19">
        <f>96000+55000+55000+100000+62000-16000</f>
        <v>352000</v>
      </c>
      <c r="E101" s="7"/>
      <c r="F101" s="19">
        <f>5967+14012+1721+8000+1816+5000+1100+10000+5000+1000+398+1000+3000+1131+2434+3500+435+29100+10470+5166.81+2800+34453+3833+6123+43602+2000+301+1245.25+501+25850+66400+16500+4600+5000+27772+6000+10000-27772</f>
        <v>339459.06</v>
      </c>
      <c r="G101" s="7"/>
      <c r="H101" s="25">
        <f t="shared" si="3"/>
        <v>12540.940000000002</v>
      </c>
      <c r="I101" s="23"/>
    </row>
    <row r="102" spans="1:9" s="3" customFormat="1" ht="25.5" customHeight="1">
      <c r="A102" s="8">
        <v>2.86</v>
      </c>
      <c r="B102" s="9" t="s">
        <v>24</v>
      </c>
      <c r="C102" s="9" t="s">
        <v>40</v>
      </c>
      <c r="D102" s="21">
        <f>D103+D104+D105+D106</f>
        <v>100000</v>
      </c>
      <c r="E102" s="10">
        <f>E104</f>
        <v>0</v>
      </c>
      <c r="F102" s="21">
        <f>F103+F105+F106+F104</f>
        <v>91074</v>
      </c>
      <c r="G102" s="10">
        <f>G104</f>
        <v>0</v>
      </c>
      <c r="H102" s="25">
        <f t="shared" si="3"/>
        <v>8926</v>
      </c>
      <c r="I102" s="23"/>
    </row>
    <row r="103" spans="1:9" s="3" customFormat="1" ht="25.5" customHeight="1">
      <c r="A103" s="8"/>
      <c r="B103" s="6" t="s">
        <v>185</v>
      </c>
      <c r="C103" s="6" t="s">
        <v>147</v>
      </c>
      <c r="D103" s="28">
        <f>3000</f>
        <v>3000</v>
      </c>
      <c r="E103" s="10"/>
      <c r="F103" s="28">
        <v>1124</v>
      </c>
      <c r="G103" s="10"/>
      <c r="H103" s="25">
        <f t="shared" si="3"/>
        <v>1876</v>
      </c>
      <c r="I103" s="23"/>
    </row>
    <row r="104" spans="1:9" ht="18" customHeight="1">
      <c r="A104" s="5"/>
      <c r="B104" s="6" t="s">
        <v>136</v>
      </c>
      <c r="C104" s="6" t="s">
        <v>151</v>
      </c>
      <c r="D104" s="19">
        <f>100000-40000-55000</f>
        <v>5000</v>
      </c>
      <c r="E104" s="7"/>
      <c r="F104" s="19"/>
      <c r="G104" s="7"/>
      <c r="H104" s="25">
        <f t="shared" si="3"/>
        <v>5000</v>
      </c>
      <c r="I104" s="23"/>
    </row>
    <row r="105" spans="1:9" ht="18" customHeight="1">
      <c r="A105" s="5"/>
      <c r="B105" s="6" t="s">
        <v>186</v>
      </c>
      <c r="C105" s="6" t="s">
        <v>152</v>
      </c>
      <c r="D105" s="19">
        <f>37000</f>
        <v>37000</v>
      </c>
      <c r="E105" s="7"/>
      <c r="F105" s="19">
        <v>36990</v>
      </c>
      <c r="G105" s="7"/>
      <c r="H105" s="25">
        <f t="shared" si="3"/>
        <v>10</v>
      </c>
      <c r="I105" s="23"/>
    </row>
    <row r="106" spans="1:9" ht="18" customHeight="1">
      <c r="A106" s="5"/>
      <c r="B106" s="6" t="s">
        <v>191</v>
      </c>
      <c r="C106" s="6" t="s">
        <v>153</v>
      </c>
      <c r="D106" s="19">
        <f>55000</f>
        <v>55000</v>
      </c>
      <c r="E106" s="7"/>
      <c r="F106" s="19">
        <f>20106+18237+7000+7617</f>
        <v>52960</v>
      </c>
      <c r="G106" s="7"/>
      <c r="H106" s="25">
        <f t="shared" si="3"/>
        <v>2040</v>
      </c>
      <c r="I106" s="23"/>
    </row>
    <row r="107" spans="1:9" ht="25.5" customHeight="1">
      <c r="A107" s="5"/>
      <c r="B107" s="11" t="s">
        <v>53</v>
      </c>
      <c r="C107" s="11" t="s">
        <v>67</v>
      </c>
      <c r="D107" s="13">
        <f aca="true" t="shared" si="4" ref="D107:G108">D108</f>
        <v>180000</v>
      </c>
      <c r="E107" s="13">
        <f t="shared" si="4"/>
        <v>0</v>
      </c>
      <c r="F107" s="20">
        <f t="shared" si="4"/>
        <v>172242.00999999998</v>
      </c>
      <c r="G107" s="13">
        <f t="shared" si="4"/>
        <v>0</v>
      </c>
      <c r="H107" s="25">
        <f t="shared" si="3"/>
        <v>7757.99000000002</v>
      </c>
      <c r="I107" s="23"/>
    </row>
    <row r="108" spans="1:9" s="17" customFormat="1" ht="19.5" customHeight="1">
      <c r="A108" s="5">
        <v>2.79</v>
      </c>
      <c r="B108" s="6" t="s">
        <v>31</v>
      </c>
      <c r="C108" s="6" t="s">
        <v>34</v>
      </c>
      <c r="D108" s="7">
        <v>180000</v>
      </c>
      <c r="E108" s="7">
        <f t="shared" si="4"/>
        <v>0</v>
      </c>
      <c r="F108" s="19">
        <f>13677+13677+13676+13676.79+16630+14415+14415+14415+14415+14415+9610+4805.11+9610+4805.11</f>
        <v>172242.00999999998</v>
      </c>
      <c r="G108" s="7">
        <f t="shared" si="4"/>
        <v>0</v>
      </c>
      <c r="H108" s="25">
        <f t="shared" si="3"/>
        <v>7757.99000000002</v>
      </c>
      <c r="I108" s="23"/>
    </row>
    <row r="109" spans="1:9" ht="36.75" customHeight="1">
      <c r="A109" s="5"/>
      <c r="B109" s="6" t="s">
        <v>137</v>
      </c>
      <c r="C109" s="6" t="s">
        <v>155</v>
      </c>
      <c r="D109" s="19">
        <f>D108</f>
        <v>180000</v>
      </c>
      <c r="E109" s="7"/>
      <c r="F109" s="19">
        <f>F108</f>
        <v>172242.00999999998</v>
      </c>
      <c r="G109" s="7"/>
      <c r="H109" s="25">
        <f t="shared" si="3"/>
        <v>7757.99000000002</v>
      </c>
      <c r="I109" s="23"/>
    </row>
    <row r="110" spans="1:9" ht="18.75" customHeight="1">
      <c r="A110" s="5"/>
      <c r="B110" s="11" t="s">
        <v>187</v>
      </c>
      <c r="C110" s="11" t="s">
        <v>68</v>
      </c>
      <c r="D110" s="13">
        <f aca="true" t="shared" si="5" ref="D110:G111">D111</f>
        <v>35000</v>
      </c>
      <c r="E110" s="13">
        <f t="shared" si="5"/>
        <v>0</v>
      </c>
      <c r="F110" s="20">
        <f t="shared" si="5"/>
        <v>35000</v>
      </c>
      <c r="G110" s="13">
        <f t="shared" si="5"/>
        <v>0</v>
      </c>
      <c r="H110" s="25">
        <f t="shared" si="3"/>
        <v>0</v>
      </c>
      <c r="I110" s="23"/>
    </row>
    <row r="111" spans="1:9" s="17" customFormat="1" ht="17.25" customHeight="1">
      <c r="A111" s="5">
        <v>2.81</v>
      </c>
      <c r="B111" s="6" t="s">
        <v>6</v>
      </c>
      <c r="C111" s="6" t="s">
        <v>13</v>
      </c>
      <c r="D111" s="7">
        <f>D112</f>
        <v>35000</v>
      </c>
      <c r="E111" s="7">
        <f t="shared" si="5"/>
        <v>0</v>
      </c>
      <c r="F111" s="19">
        <f>F112</f>
        <v>35000</v>
      </c>
      <c r="G111" s="7">
        <f t="shared" si="5"/>
        <v>0</v>
      </c>
      <c r="H111" s="25">
        <f t="shared" si="3"/>
        <v>0</v>
      </c>
      <c r="I111" s="23"/>
    </row>
    <row r="112" spans="1:9" ht="16.5" customHeight="1">
      <c r="A112" s="5"/>
      <c r="B112" s="6" t="s">
        <v>188</v>
      </c>
      <c r="C112" s="6" t="s">
        <v>156</v>
      </c>
      <c r="D112" s="19">
        <f>30000+5000</f>
        <v>35000</v>
      </c>
      <c r="E112" s="7"/>
      <c r="F112" s="19">
        <f>15000+20000</f>
        <v>35000</v>
      </c>
      <c r="G112" s="7"/>
      <c r="H112" s="25">
        <f t="shared" si="3"/>
        <v>0</v>
      </c>
      <c r="I112" s="23"/>
    </row>
    <row r="113" spans="1:9" ht="48.75" customHeight="1">
      <c r="A113" s="5"/>
      <c r="B113" s="11" t="s">
        <v>54</v>
      </c>
      <c r="C113" s="11" t="s">
        <v>69</v>
      </c>
      <c r="D113" s="13">
        <f aca="true" t="shared" si="6" ref="D113:G114">D114</f>
        <v>3606067.87</v>
      </c>
      <c r="E113" s="13">
        <f t="shared" si="6"/>
        <v>0</v>
      </c>
      <c r="F113" s="20">
        <f t="shared" si="6"/>
        <v>3605332.5</v>
      </c>
      <c r="G113" s="13">
        <f t="shared" si="6"/>
        <v>0</v>
      </c>
      <c r="H113" s="25">
        <f t="shared" si="3"/>
        <v>735.3700000001118</v>
      </c>
      <c r="I113" s="23"/>
    </row>
    <row r="114" spans="1:9" s="17" customFormat="1" ht="15.75" customHeight="1">
      <c r="A114" s="5">
        <v>2.48</v>
      </c>
      <c r="B114" s="6" t="s">
        <v>4</v>
      </c>
      <c r="C114" s="6" t="s">
        <v>16</v>
      </c>
      <c r="D114" s="7">
        <f t="shared" si="6"/>
        <v>3606067.87</v>
      </c>
      <c r="E114" s="7">
        <f t="shared" si="6"/>
        <v>0</v>
      </c>
      <c r="F114" s="19">
        <f t="shared" si="6"/>
        <v>3605332.5</v>
      </c>
      <c r="G114" s="7">
        <f t="shared" si="6"/>
        <v>0</v>
      </c>
      <c r="H114" s="25">
        <f t="shared" si="3"/>
        <v>735.3700000001118</v>
      </c>
      <c r="I114" s="23"/>
    </row>
    <row r="115" spans="1:9" ht="18" customHeight="1">
      <c r="A115" s="5"/>
      <c r="B115" s="6" t="s">
        <v>138</v>
      </c>
      <c r="C115" s="6" t="s">
        <v>152</v>
      </c>
      <c r="D115" s="7">
        <f>2031267.87+1574800</f>
        <v>3606067.87</v>
      </c>
      <c r="E115" s="7"/>
      <c r="F115" s="19">
        <f>500000+1574796.76+515267.87+1015267.87</f>
        <v>3605332.5</v>
      </c>
      <c r="G115" s="7"/>
      <c r="H115" s="25">
        <f t="shared" si="3"/>
        <v>735.3700000001118</v>
      </c>
      <c r="I115" s="23"/>
    </row>
    <row r="116" spans="1:9" ht="49.5" customHeight="1">
      <c r="A116" s="5"/>
      <c r="B116" s="11" t="s">
        <v>160</v>
      </c>
      <c r="C116" s="11" t="s">
        <v>161</v>
      </c>
      <c r="D116" s="13">
        <f>D119</f>
        <v>17075900</v>
      </c>
      <c r="E116" s="13">
        <f>E117+E119</f>
        <v>0</v>
      </c>
      <c r="F116" s="20">
        <f>F119</f>
        <v>15621034.549999997</v>
      </c>
      <c r="G116" s="13">
        <f>G117+G119</f>
        <v>0</v>
      </c>
      <c r="H116" s="25">
        <f t="shared" si="3"/>
        <v>1454865.450000003</v>
      </c>
      <c r="I116" s="23"/>
    </row>
    <row r="117" spans="1:9" ht="18" customHeight="1">
      <c r="A117" s="5">
        <v>2.48</v>
      </c>
      <c r="B117" s="6" t="s">
        <v>4</v>
      </c>
      <c r="C117" s="6" t="s">
        <v>16</v>
      </c>
      <c r="D117" s="7">
        <f>D118</f>
        <v>0</v>
      </c>
      <c r="E117" s="7">
        <f>E118</f>
        <v>0</v>
      </c>
      <c r="F117" s="19"/>
      <c r="G117" s="7">
        <f>G118</f>
        <v>0</v>
      </c>
      <c r="H117" s="25">
        <f t="shared" si="3"/>
        <v>0</v>
      </c>
      <c r="I117" s="23"/>
    </row>
    <row r="118" spans="1:9" ht="18" customHeight="1">
      <c r="A118" s="5"/>
      <c r="B118" s="6" t="s">
        <v>138</v>
      </c>
      <c r="C118" s="6" t="s">
        <v>152</v>
      </c>
      <c r="D118" s="19"/>
      <c r="E118" s="7"/>
      <c r="F118" s="19"/>
      <c r="G118" s="7"/>
      <c r="H118" s="25">
        <f t="shared" si="3"/>
        <v>0</v>
      </c>
      <c r="I118" s="23"/>
    </row>
    <row r="119" spans="1:9" ht="23.25" customHeight="1">
      <c r="A119" s="5"/>
      <c r="B119" s="6" t="s">
        <v>8</v>
      </c>
      <c r="C119" s="18" t="s">
        <v>26</v>
      </c>
      <c r="D119" s="19">
        <f>D120+D121+D122</f>
        <v>17075900</v>
      </c>
      <c r="E119" s="7">
        <f>E121</f>
        <v>0</v>
      </c>
      <c r="F119" s="19">
        <f>F120+F121+F122</f>
        <v>15621034.549999997</v>
      </c>
      <c r="G119" s="7">
        <f>G121</f>
        <v>0</v>
      </c>
      <c r="H119" s="25">
        <f t="shared" si="3"/>
        <v>1454865.450000003</v>
      </c>
      <c r="I119" s="23"/>
    </row>
    <row r="120" spans="1:9" ht="23.25" customHeight="1">
      <c r="A120" s="5"/>
      <c r="B120" s="6" t="s">
        <v>113</v>
      </c>
      <c r="C120" s="6" t="s">
        <v>149</v>
      </c>
      <c r="D120" s="19">
        <f>20000</f>
        <v>20000</v>
      </c>
      <c r="E120" s="7"/>
      <c r="F120" s="19">
        <f>17345.29</f>
        <v>17345.29</v>
      </c>
      <c r="G120" s="7"/>
      <c r="H120" s="25"/>
      <c r="I120" s="23"/>
    </row>
    <row r="121" spans="1:9" ht="18" customHeight="1">
      <c r="A121" s="5"/>
      <c r="B121" s="6" t="s">
        <v>114</v>
      </c>
      <c r="C121" s="6" t="s">
        <v>151</v>
      </c>
      <c r="D121" s="19">
        <f>613000+130000</f>
        <v>743000</v>
      </c>
      <c r="E121" s="7"/>
      <c r="F121" s="19">
        <f>96.09+172.94+47461+85849+122.89+61308+165.47+42524.41+82557+232.17-42524.41+115842+436.44+218757+129360</f>
        <v>742360</v>
      </c>
      <c r="G121" s="7"/>
      <c r="H121" s="25">
        <f t="shared" si="3"/>
        <v>640</v>
      </c>
      <c r="I121" s="23"/>
    </row>
    <row r="122" spans="1:9" ht="18" customHeight="1">
      <c r="A122" s="5"/>
      <c r="B122" s="6" t="s">
        <v>162</v>
      </c>
      <c r="C122" s="6" t="s">
        <v>152</v>
      </c>
      <c r="D122" s="19">
        <f>17897900+36000-613000-1008000</f>
        <v>16312900</v>
      </c>
      <c r="E122" s="7"/>
      <c r="F122" s="19">
        <f>2642.32+4779.45+1318388+2384719+3413.54+1703004+4596.36+767978.5+1525294.5+2176.47+3927.64+345.03+1959716.73+1085963.19+172154.08+3960.68+3883.78+1976382.04+1938003.95</f>
        <v>14861329.259999998</v>
      </c>
      <c r="G122" s="7"/>
      <c r="H122" s="25">
        <f t="shared" si="3"/>
        <v>1451570.740000002</v>
      </c>
      <c r="I122" s="23"/>
    </row>
    <row r="123" spans="1:9" ht="18" customHeight="1">
      <c r="A123" s="5"/>
      <c r="B123" s="6" t="s">
        <v>169</v>
      </c>
      <c r="C123" s="6" t="s">
        <v>152</v>
      </c>
      <c r="D123" s="19"/>
      <c r="E123" s="7"/>
      <c r="F123" s="19"/>
      <c r="G123" s="7"/>
      <c r="H123" s="25">
        <f t="shared" si="3"/>
        <v>0</v>
      </c>
      <c r="I123" s="23"/>
    </row>
    <row r="124" spans="1:9" ht="72.75" customHeight="1">
      <c r="A124" s="5"/>
      <c r="B124" s="11" t="s">
        <v>55</v>
      </c>
      <c r="C124" s="11" t="s">
        <v>70</v>
      </c>
      <c r="D124" s="13">
        <f>D125</f>
        <v>0</v>
      </c>
      <c r="E124" s="13">
        <f>E125</f>
        <v>0</v>
      </c>
      <c r="F124" s="20">
        <f>F125</f>
        <v>0</v>
      </c>
      <c r="G124" s="13">
        <f>G125</f>
        <v>0</v>
      </c>
      <c r="H124" s="25">
        <f t="shared" si="3"/>
        <v>0</v>
      </c>
      <c r="I124" s="23"/>
    </row>
    <row r="125" spans="1:9" s="17" customFormat="1" ht="17.25" customHeight="1">
      <c r="A125" s="15">
        <v>2.5</v>
      </c>
      <c r="B125" s="6" t="s">
        <v>32</v>
      </c>
      <c r="C125" s="6" t="s">
        <v>37</v>
      </c>
      <c r="D125" s="7">
        <f>D127</f>
        <v>0</v>
      </c>
      <c r="E125" s="7">
        <f>E127</f>
        <v>0</v>
      </c>
      <c r="F125" s="19">
        <f>F127</f>
        <v>0</v>
      </c>
      <c r="G125" s="7">
        <f>G127</f>
        <v>0</v>
      </c>
      <c r="H125" s="25">
        <f t="shared" si="3"/>
        <v>0</v>
      </c>
      <c r="I125" s="23"/>
    </row>
    <row r="126" spans="1:9" ht="12.75" hidden="1">
      <c r="A126" s="5"/>
      <c r="B126" s="6"/>
      <c r="C126" s="6"/>
      <c r="D126" s="7"/>
      <c r="E126" s="7"/>
      <c r="F126" s="19"/>
      <c r="G126" s="7"/>
      <c r="H126" s="25">
        <f t="shared" si="3"/>
        <v>0</v>
      </c>
      <c r="I126" s="23"/>
    </row>
    <row r="127" spans="1:9" ht="36.75" customHeight="1">
      <c r="A127" s="5"/>
      <c r="B127" s="6" t="s">
        <v>139</v>
      </c>
      <c r="C127" s="6" t="s">
        <v>157</v>
      </c>
      <c r="D127" s="7"/>
      <c r="E127" s="7"/>
      <c r="F127" s="19"/>
      <c r="G127" s="7"/>
      <c r="H127" s="25">
        <f t="shared" si="3"/>
        <v>0</v>
      </c>
      <c r="I127" s="23"/>
    </row>
    <row r="128" spans="1:9" ht="18.75" customHeight="1">
      <c r="A128" s="5"/>
      <c r="B128" s="11" t="s">
        <v>56</v>
      </c>
      <c r="C128" s="11" t="s">
        <v>71</v>
      </c>
      <c r="D128" s="20">
        <f>D129</f>
        <v>0</v>
      </c>
      <c r="E128" s="20">
        <f>E129</f>
        <v>0</v>
      </c>
      <c r="F128" s="20">
        <f>F129</f>
        <v>0</v>
      </c>
      <c r="G128" s="13">
        <f>G129</f>
        <v>0</v>
      </c>
      <c r="H128" s="25">
        <f t="shared" si="3"/>
        <v>0</v>
      </c>
      <c r="I128" s="23"/>
    </row>
    <row r="129" spans="1:9" s="17" customFormat="1" ht="24.75" customHeight="1">
      <c r="A129" s="5">
        <v>2.94</v>
      </c>
      <c r="B129" s="6" t="s">
        <v>20</v>
      </c>
      <c r="C129" s="6" t="s">
        <v>30</v>
      </c>
      <c r="D129" s="19"/>
      <c r="E129" s="19">
        <f>E131</f>
        <v>0</v>
      </c>
      <c r="F129" s="19"/>
      <c r="G129" s="7">
        <f>G131</f>
        <v>0</v>
      </c>
      <c r="H129" s="25">
        <f t="shared" si="3"/>
        <v>0</v>
      </c>
      <c r="I129" s="23"/>
    </row>
    <row r="130" spans="1:9" ht="12.75" hidden="1">
      <c r="A130" s="5"/>
      <c r="B130" s="11"/>
      <c r="C130" s="6"/>
      <c r="D130" s="19"/>
      <c r="E130" s="19"/>
      <c r="F130" s="19"/>
      <c r="G130" s="7"/>
      <c r="H130" s="25">
        <f t="shared" si="3"/>
        <v>0</v>
      </c>
      <c r="I130" s="23"/>
    </row>
    <row r="131" spans="1:9" ht="17.25" customHeight="1">
      <c r="A131" s="5"/>
      <c r="B131" s="6" t="s">
        <v>140</v>
      </c>
      <c r="C131" s="6" t="s">
        <v>158</v>
      </c>
      <c r="D131" s="19"/>
      <c r="E131" s="19">
        <f>D131</f>
        <v>0</v>
      </c>
      <c r="F131" s="19"/>
      <c r="G131" s="7">
        <f>F131</f>
        <v>0</v>
      </c>
      <c r="H131" s="25">
        <f t="shared" si="3"/>
        <v>0</v>
      </c>
      <c r="I131" s="23"/>
    </row>
    <row r="132" spans="1:9" ht="61.5" customHeight="1">
      <c r="A132" s="5"/>
      <c r="B132" s="11" t="s">
        <v>60</v>
      </c>
      <c r="C132" s="11" t="s">
        <v>72</v>
      </c>
      <c r="D132" s="13">
        <f>D133</f>
        <v>0</v>
      </c>
      <c r="E132" s="13">
        <f>E133</f>
        <v>0</v>
      </c>
      <c r="F132" s="20">
        <f>F133</f>
        <v>0</v>
      </c>
      <c r="G132" s="13">
        <f>G133</f>
        <v>0</v>
      </c>
      <c r="H132" s="25">
        <f t="shared" si="3"/>
        <v>0</v>
      </c>
      <c r="I132" s="23"/>
    </row>
    <row r="133" spans="1:9" s="17" customFormat="1" ht="19.5" customHeight="1">
      <c r="A133" s="5">
        <v>2.48</v>
      </c>
      <c r="B133" s="6" t="s">
        <v>4</v>
      </c>
      <c r="C133" s="6" t="s">
        <v>16</v>
      </c>
      <c r="D133" s="7">
        <f>D135</f>
        <v>0</v>
      </c>
      <c r="E133" s="7">
        <f>E135</f>
        <v>0</v>
      </c>
      <c r="F133" s="19">
        <f>F135</f>
        <v>0</v>
      </c>
      <c r="G133" s="7">
        <f>G135</f>
        <v>0</v>
      </c>
      <c r="H133" s="25">
        <f t="shared" si="3"/>
        <v>0</v>
      </c>
      <c r="I133" s="23"/>
    </row>
    <row r="134" spans="1:9" ht="12.75" hidden="1">
      <c r="A134" s="5"/>
      <c r="B134" s="11"/>
      <c r="C134" s="6"/>
      <c r="D134" s="7"/>
      <c r="E134" s="7"/>
      <c r="F134" s="19"/>
      <c r="G134" s="7"/>
      <c r="H134" s="25">
        <f t="shared" si="3"/>
        <v>0</v>
      </c>
      <c r="I134" s="23"/>
    </row>
    <row r="135" spans="1:9" ht="36.75" customHeight="1">
      <c r="A135" s="5"/>
      <c r="B135" s="6" t="s">
        <v>107</v>
      </c>
      <c r="C135" s="6" t="s">
        <v>159</v>
      </c>
      <c r="D135" s="7">
        <f>424000-424000</f>
        <v>0</v>
      </c>
      <c r="E135" s="7"/>
      <c r="F135" s="19"/>
      <c r="G135" s="7"/>
      <c r="H135" s="25">
        <f t="shared" si="3"/>
        <v>0</v>
      </c>
      <c r="I135" s="23"/>
    </row>
    <row r="136" spans="1:9" ht="36.75" customHeight="1">
      <c r="A136" s="5"/>
      <c r="B136" s="11" t="s">
        <v>163</v>
      </c>
      <c r="C136" s="6" t="s">
        <v>154</v>
      </c>
      <c r="D136" s="13"/>
      <c r="E136" s="13"/>
      <c r="F136" s="20">
        <f>F137</f>
        <v>0</v>
      </c>
      <c r="G136" s="7"/>
      <c r="H136" s="25">
        <f t="shared" si="3"/>
        <v>0</v>
      </c>
      <c r="I136" s="23"/>
    </row>
    <row r="137" spans="1:9" ht="36.75" customHeight="1">
      <c r="A137" s="5"/>
      <c r="B137" s="6" t="s">
        <v>164</v>
      </c>
      <c r="C137" s="6" t="s">
        <v>165</v>
      </c>
      <c r="D137" s="7"/>
      <c r="E137" s="7"/>
      <c r="F137" s="19"/>
      <c r="G137" s="7"/>
      <c r="H137" s="25">
        <f t="shared" si="3"/>
        <v>0</v>
      </c>
      <c r="I137" s="23"/>
    </row>
    <row r="138" spans="1:9" ht="27.75" customHeight="1">
      <c r="A138" s="5"/>
      <c r="B138" s="11" t="s">
        <v>57</v>
      </c>
      <c r="C138" s="11" t="s">
        <v>73</v>
      </c>
      <c r="D138" s="13">
        <f>D139+D141</f>
        <v>35000</v>
      </c>
      <c r="E138" s="13">
        <f>E139+E141</f>
        <v>0</v>
      </c>
      <c r="F138" s="20">
        <f>F139+F141</f>
        <v>22174</v>
      </c>
      <c r="G138" s="13">
        <f>G139+G141</f>
        <v>0</v>
      </c>
      <c r="H138" s="25">
        <f t="shared" si="3"/>
        <v>12826</v>
      </c>
      <c r="I138" s="23"/>
    </row>
    <row r="139" spans="1:9" s="17" customFormat="1" ht="49.5" customHeight="1">
      <c r="A139" s="5">
        <v>2.5</v>
      </c>
      <c r="B139" s="6" t="s">
        <v>22</v>
      </c>
      <c r="C139" s="6" t="s">
        <v>10</v>
      </c>
      <c r="D139" s="7">
        <f>D140</f>
        <v>24000</v>
      </c>
      <c r="E139" s="7">
        <f>E140</f>
        <v>0</v>
      </c>
      <c r="F139" s="19">
        <f>F140</f>
        <v>13291</v>
      </c>
      <c r="G139" s="7">
        <f>G140</f>
        <v>0</v>
      </c>
      <c r="H139" s="25">
        <f aca="true" t="shared" si="7" ref="H139:H156">D139-F139</f>
        <v>10709</v>
      </c>
      <c r="I139" s="23"/>
    </row>
    <row r="140" spans="1:9" ht="15" customHeight="1">
      <c r="A140" s="5"/>
      <c r="B140" s="6" t="s">
        <v>141</v>
      </c>
      <c r="C140" s="6" t="s">
        <v>154</v>
      </c>
      <c r="D140" s="19">
        <f>55000-5000-26000</f>
        <v>24000</v>
      </c>
      <c r="E140" s="7"/>
      <c r="F140" s="19">
        <f>505+4174+4283+4329</f>
        <v>13291</v>
      </c>
      <c r="G140" s="7"/>
      <c r="H140" s="25">
        <f t="shared" si="7"/>
        <v>10709</v>
      </c>
      <c r="I140" s="23"/>
    </row>
    <row r="141" spans="1:9" s="17" customFormat="1" ht="18" customHeight="1">
      <c r="A141" s="5">
        <v>2.66</v>
      </c>
      <c r="B141" s="6" t="s">
        <v>27</v>
      </c>
      <c r="C141" s="6" t="s">
        <v>43</v>
      </c>
      <c r="D141" s="19">
        <f>D142</f>
        <v>11000</v>
      </c>
      <c r="E141" s="7">
        <f>E142</f>
        <v>0</v>
      </c>
      <c r="F141" s="19">
        <f>F142</f>
        <v>8883</v>
      </c>
      <c r="G141" s="7">
        <f>G142</f>
        <v>0</v>
      </c>
      <c r="H141" s="25">
        <f t="shared" si="7"/>
        <v>2117</v>
      </c>
      <c r="I141" s="23"/>
    </row>
    <row r="142" spans="1:9" ht="18" customHeight="1">
      <c r="A142" s="5"/>
      <c r="B142" s="6" t="s">
        <v>142</v>
      </c>
      <c r="C142" s="6" t="s">
        <v>154</v>
      </c>
      <c r="D142" s="19">
        <f>20000-4000-5000</f>
        <v>11000</v>
      </c>
      <c r="E142" s="7"/>
      <c r="F142" s="19">
        <f>2960+3000+2923</f>
        <v>8883</v>
      </c>
      <c r="G142" s="7"/>
      <c r="H142" s="25">
        <f t="shared" si="7"/>
        <v>2117</v>
      </c>
      <c r="I142" s="23"/>
    </row>
    <row r="143" spans="1:9" ht="18" customHeight="1">
      <c r="A143" s="5"/>
      <c r="B143" s="11" t="s">
        <v>58</v>
      </c>
      <c r="C143" s="11" t="s">
        <v>74</v>
      </c>
      <c r="D143" s="20">
        <f>D144+D146</f>
        <v>14000</v>
      </c>
      <c r="E143" s="13">
        <f>E144+E146</f>
        <v>0</v>
      </c>
      <c r="F143" s="20">
        <f>F144+F146</f>
        <v>10910</v>
      </c>
      <c r="G143" s="13">
        <f>G144+G146</f>
        <v>0</v>
      </c>
      <c r="H143" s="25">
        <f t="shared" si="7"/>
        <v>3090</v>
      </c>
      <c r="I143" s="23"/>
    </row>
    <row r="144" spans="1:9" s="17" customFormat="1" ht="52.5" customHeight="1">
      <c r="A144" s="5">
        <v>2.5</v>
      </c>
      <c r="B144" s="6" t="s">
        <v>22</v>
      </c>
      <c r="C144" s="6" t="s">
        <v>10</v>
      </c>
      <c r="D144" s="19">
        <f>D145</f>
        <v>5000</v>
      </c>
      <c r="E144" s="7">
        <f>E145</f>
        <v>0</v>
      </c>
      <c r="F144" s="19">
        <f>F145</f>
        <v>2750</v>
      </c>
      <c r="G144" s="7">
        <f>G145</f>
        <v>0</v>
      </c>
      <c r="H144" s="25">
        <f t="shared" si="7"/>
        <v>2250</v>
      </c>
      <c r="I144" s="23"/>
    </row>
    <row r="145" spans="1:9" ht="16.5" customHeight="1">
      <c r="A145" s="5"/>
      <c r="B145" s="6" t="s">
        <v>141</v>
      </c>
      <c r="C145" s="6" t="s">
        <v>154</v>
      </c>
      <c r="D145" s="19">
        <v>5000</v>
      </c>
      <c r="E145" s="7"/>
      <c r="F145" s="19">
        <f>2750</f>
        <v>2750</v>
      </c>
      <c r="G145" s="7"/>
      <c r="H145" s="25">
        <f t="shared" si="7"/>
        <v>2250</v>
      </c>
      <c r="I145" s="23"/>
    </row>
    <row r="146" spans="1:9" s="17" customFormat="1" ht="16.5" customHeight="1">
      <c r="A146" s="5">
        <v>2.66</v>
      </c>
      <c r="B146" s="6" t="s">
        <v>27</v>
      </c>
      <c r="C146" s="6" t="s">
        <v>43</v>
      </c>
      <c r="D146" s="19">
        <f>D147</f>
        <v>9000</v>
      </c>
      <c r="E146" s="7">
        <f>E147</f>
        <v>0</v>
      </c>
      <c r="F146" s="19">
        <f>F147</f>
        <v>8160</v>
      </c>
      <c r="G146" s="7">
        <f>G147</f>
        <v>0</v>
      </c>
      <c r="H146" s="25">
        <f t="shared" si="7"/>
        <v>840</v>
      </c>
      <c r="I146" s="23"/>
    </row>
    <row r="147" spans="1:9" ht="18" customHeight="1">
      <c r="A147" s="5"/>
      <c r="B147" s="6" t="s">
        <v>142</v>
      </c>
      <c r="C147" s="6" t="s">
        <v>154</v>
      </c>
      <c r="D147" s="19">
        <f>5000+4000</f>
        <v>9000</v>
      </c>
      <c r="E147" s="7"/>
      <c r="F147" s="19">
        <f>8160</f>
        <v>8160</v>
      </c>
      <c r="G147" s="7"/>
      <c r="H147" s="25">
        <f t="shared" si="7"/>
        <v>840</v>
      </c>
      <c r="I147" s="23"/>
    </row>
    <row r="148" spans="1:9" ht="16.5" customHeight="1">
      <c r="A148" s="5"/>
      <c r="B148" s="11" t="s">
        <v>59</v>
      </c>
      <c r="C148" s="11" t="s">
        <v>75</v>
      </c>
      <c r="D148" s="20">
        <f>D149+D151</f>
        <v>93000</v>
      </c>
      <c r="E148" s="13">
        <f>E149+E151</f>
        <v>0</v>
      </c>
      <c r="F148" s="20">
        <f>F149+F151</f>
        <v>91946.27</v>
      </c>
      <c r="G148" s="13">
        <f>G149+G151</f>
        <v>0</v>
      </c>
      <c r="H148" s="25">
        <f t="shared" si="7"/>
        <v>1053.729999999996</v>
      </c>
      <c r="I148" s="23"/>
    </row>
    <row r="149" spans="1:9" s="17" customFormat="1" ht="50.25" customHeight="1">
      <c r="A149" s="5">
        <v>2.5</v>
      </c>
      <c r="B149" s="6" t="s">
        <v>22</v>
      </c>
      <c r="C149" s="6" t="s">
        <v>10</v>
      </c>
      <c r="D149" s="7">
        <f>D150</f>
        <v>66000</v>
      </c>
      <c r="E149" s="7">
        <f>E150</f>
        <v>0</v>
      </c>
      <c r="F149" s="19">
        <f>F150</f>
        <v>65259.89000000001</v>
      </c>
      <c r="G149" s="7">
        <f>G150</f>
        <v>0</v>
      </c>
      <c r="H149" s="25">
        <f t="shared" si="7"/>
        <v>740.1099999999933</v>
      </c>
      <c r="I149" s="23"/>
    </row>
    <row r="150" spans="1:9" ht="16.5" customHeight="1">
      <c r="A150" s="5"/>
      <c r="B150" s="6" t="s">
        <v>141</v>
      </c>
      <c r="C150" s="6" t="s">
        <v>154</v>
      </c>
      <c r="D150" s="29">
        <f>40000-5000+5000+26000</f>
        <v>66000</v>
      </c>
      <c r="E150" s="7"/>
      <c r="F150" s="19">
        <f>2265.58+18214.4+387.53+15131+0.19+244.37+189.46+6688.8+11068.5+11070+0.06</f>
        <v>65259.89000000001</v>
      </c>
      <c r="G150" s="7"/>
      <c r="H150" s="25">
        <f t="shared" si="7"/>
        <v>740.1099999999933</v>
      </c>
      <c r="I150" s="23"/>
    </row>
    <row r="151" spans="1:9" s="17" customFormat="1" ht="17.25" customHeight="1">
      <c r="A151" s="5">
        <v>2.66</v>
      </c>
      <c r="B151" s="6" t="s">
        <v>27</v>
      </c>
      <c r="C151" s="6" t="s">
        <v>43</v>
      </c>
      <c r="D151" s="29">
        <f>D152</f>
        <v>27000</v>
      </c>
      <c r="E151" s="7">
        <f>E152</f>
        <v>0</v>
      </c>
      <c r="F151" s="19">
        <f>F152</f>
        <v>26686.379999999997</v>
      </c>
      <c r="G151" s="7">
        <f>G152</f>
        <v>0</v>
      </c>
      <c r="H151" s="25">
        <f t="shared" si="7"/>
        <v>313.6200000000026</v>
      </c>
      <c r="I151" s="23"/>
    </row>
    <row r="152" spans="1:9" ht="15.75" customHeight="1">
      <c r="A152" s="5"/>
      <c r="B152" s="6" t="s">
        <v>142</v>
      </c>
      <c r="C152" s="6" t="s">
        <v>154</v>
      </c>
      <c r="D152" s="19">
        <f>2000+5000+5000+15000</f>
        <v>27000</v>
      </c>
      <c r="E152" s="7"/>
      <c r="F152" s="19">
        <f>396.78+6330.8+5094.2+63.9+4800.7+10000</f>
        <v>26686.379999999997</v>
      </c>
      <c r="G152" s="7"/>
      <c r="H152" s="25">
        <f t="shared" si="7"/>
        <v>313.6200000000026</v>
      </c>
      <c r="I152" s="23"/>
    </row>
    <row r="153" spans="1:9" ht="16.5" customHeight="1">
      <c r="A153" s="5"/>
      <c r="B153" s="11" t="s">
        <v>61</v>
      </c>
      <c r="C153" s="11" t="s">
        <v>76</v>
      </c>
      <c r="D153" s="13">
        <f aca="true" t="shared" si="8" ref="D153:G154">D154</f>
        <v>0</v>
      </c>
      <c r="E153" s="13">
        <f t="shared" si="8"/>
        <v>0</v>
      </c>
      <c r="F153" s="20">
        <f t="shared" si="8"/>
        <v>0</v>
      </c>
      <c r="G153" s="13">
        <f t="shared" si="8"/>
        <v>0</v>
      </c>
      <c r="H153" s="25">
        <f t="shared" si="7"/>
        <v>0</v>
      </c>
      <c r="I153" s="23"/>
    </row>
    <row r="154" spans="1:9" ht="15.75" customHeight="1">
      <c r="A154" s="5">
        <v>2.12</v>
      </c>
      <c r="B154" s="6" t="s">
        <v>5</v>
      </c>
      <c r="C154" s="6" t="s">
        <v>2</v>
      </c>
      <c r="D154" s="7">
        <f t="shared" si="8"/>
        <v>0</v>
      </c>
      <c r="E154" s="7">
        <f t="shared" si="8"/>
        <v>0</v>
      </c>
      <c r="F154" s="19">
        <f t="shared" si="8"/>
        <v>0</v>
      </c>
      <c r="G154" s="7">
        <f t="shared" si="8"/>
        <v>0</v>
      </c>
      <c r="H154" s="25">
        <f t="shared" si="7"/>
        <v>0</v>
      </c>
      <c r="I154" s="23"/>
    </row>
    <row r="155" spans="1:9" ht="18.75" customHeight="1">
      <c r="A155" s="5"/>
      <c r="B155" s="6" t="s">
        <v>143</v>
      </c>
      <c r="C155" s="6" t="s">
        <v>154</v>
      </c>
      <c r="D155" s="7"/>
      <c r="E155" s="7"/>
      <c r="F155" s="7"/>
      <c r="G155" s="7"/>
      <c r="H155" s="25">
        <f t="shared" si="7"/>
        <v>0</v>
      </c>
      <c r="I155" s="23"/>
    </row>
    <row r="156" spans="1:9" s="3" customFormat="1" ht="26.25" customHeight="1">
      <c r="A156" s="8" t="s">
        <v>23</v>
      </c>
      <c r="B156" s="9" t="s">
        <v>15</v>
      </c>
      <c r="C156" s="9" t="s">
        <v>9</v>
      </c>
      <c r="D156" s="21">
        <f>46310246.3-D6</f>
        <v>-2154800</v>
      </c>
      <c r="E156" s="21">
        <f>24814813.43-347535-1008000</f>
        <v>23459278.43</v>
      </c>
      <c r="F156" s="21">
        <f>48713009.31-F6</f>
        <v>1929092.5300000012</v>
      </c>
      <c r="G156" s="21">
        <v>22012756.42</v>
      </c>
      <c r="H156" s="25">
        <f t="shared" si="7"/>
        <v>-4083892.530000001</v>
      </c>
      <c r="I156" s="23"/>
    </row>
    <row r="157" spans="1:8" ht="12.75">
      <c r="A157" s="32" t="s">
        <v>34</v>
      </c>
      <c r="B157" s="33"/>
      <c r="C157" s="33"/>
      <c r="D157" s="1" t="s">
        <v>34</v>
      </c>
      <c r="H157" s="25"/>
    </row>
    <row r="158" spans="1:9" ht="15">
      <c r="A158" s="14"/>
      <c r="B158" t="s">
        <v>80</v>
      </c>
      <c r="D158" s="16"/>
      <c r="E158" t="s">
        <v>170</v>
      </c>
      <c r="H158" s="25"/>
      <c r="I158" t="s">
        <v>189</v>
      </c>
    </row>
    <row r="159" spans="1:8" ht="15">
      <c r="A159" s="14"/>
      <c r="D159" s="16"/>
      <c r="H159" s="25"/>
    </row>
    <row r="160" ht="12.75">
      <c r="H160" s="25"/>
    </row>
    <row r="161" spans="2:8" ht="12.75">
      <c r="B161" t="s">
        <v>81</v>
      </c>
      <c r="E161" s="22" t="s">
        <v>167</v>
      </c>
      <c r="H161" s="25"/>
    </row>
    <row r="162" ht="12.75">
      <c r="H162" s="25"/>
    </row>
    <row r="163" ht="12.75">
      <c r="H163" s="25"/>
    </row>
    <row r="164" ht="12.75">
      <c r="H164" s="25"/>
    </row>
    <row r="165" ht="12.75">
      <c r="H165" s="25"/>
    </row>
    <row r="166" ht="12.75">
      <c r="H166" s="25"/>
    </row>
    <row r="167" ht="12.75">
      <c r="H167" s="25"/>
    </row>
    <row r="168" ht="12.75">
      <c r="H168" s="25"/>
    </row>
    <row r="169" ht="12.75">
      <c r="H169" s="25"/>
    </row>
    <row r="170" ht="12.75">
      <c r="H170" s="25"/>
    </row>
    <row r="171" ht="12.75">
      <c r="H171" s="25"/>
    </row>
    <row r="172" ht="12.75">
      <c r="H172" s="25"/>
    </row>
    <row r="173" ht="12.75">
      <c r="H173" s="25"/>
    </row>
    <row r="174" ht="12.75">
      <c r="H174" s="25"/>
    </row>
    <row r="175" ht="12.75">
      <c r="H175" s="25"/>
    </row>
    <row r="176" ht="12.75">
      <c r="H176" s="25"/>
    </row>
    <row r="177" ht="12.75">
      <c r="H177" s="25"/>
    </row>
    <row r="178" ht="12.75">
      <c r="H178" s="25"/>
    </row>
    <row r="179" ht="12.75">
      <c r="H179" s="25"/>
    </row>
    <row r="180" ht="12.75">
      <c r="H180" s="25"/>
    </row>
    <row r="181" ht="12.75">
      <c r="H181" s="25"/>
    </row>
    <row r="182" ht="12.75">
      <c r="H182" s="25"/>
    </row>
    <row r="183" ht="12.75">
      <c r="H183" s="25"/>
    </row>
    <row r="184" ht="12.75">
      <c r="H184" s="25"/>
    </row>
    <row r="185" ht="12.75">
      <c r="H185" s="25"/>
    </row>
    <row r="186" ht="12.75">
      <c r="H186" s="25"/>
    </row>
    <row r="187" ht="12.75">
      <c r="H187" s="25"/>
    </row>
    <row r="188" ht="12.75">
      <c r="H188" s="25"/>
    </row>
    <row r="189" ht="12.75">
      <c r="H189" s="25"/>
    </row>
    <row r="190" ht="12.75">
      <c r="H190" s="25"/>
    </row>
    <row r="191" ht="12.75">
      <c r="H191" s="25"/>
    </row>
    <row r="192" ht="12.75">
      <c r="H192" s="25"/>
    </row>
    <row r="193" ht="12.75">
      <c r="H193" s="25"/>
    </row>
    <row r="194" ht="12.75">
      <c r="H194" s="25"/>
    </row>
    <row r="195" ht="12.75">
      <c r="H195" s="25"/>
    </row>
    <row r="196" ht="12.75">
      <c r="H196" s="25"/>
    </row>
    <row r="197" ht="12.75">
      <c r="H197" s="25"/>
    </row>
    <row r="198" ht="12.75">
      <c r="H198" s="25"/>
    </row>
    <row r="199" ht="12.75">
      <c r="H199" s="25"/>
    </row>
    <row r="200" ht="12.75">
      <c r="H200" s="25"/>
    </row>
    <row r="201" ht="12.75">
      <c r="H201" s="25"/>
    </row>
    <row r="202" ht="12.75">
      <c r="H202" s="25"/>
    </row>
    <row r="203" ht="12.75">
      <c r="H203" s="25"/>
    </row>
    <row r="204" ht="12.75">
      <c r="H204" s="25"/>
    </row>
    <row r="205" ht="12.75">
      <c r="H205" s="25"/>
    </row>
    <row r="206" ht="12.75">
      <c r="H206" s="25"/>
    </row>
    <row r="207" ht="12.75">
      <c r="H207" s="25"/>
    </row>
    <row r="208" ht="12.75">
      <c r="H208" s="25"/>
    </row>
    <row r="209" ht="12.75">
      <c r="H209" s="25"/>
    </row>
    <row r="210" ht="12.75">
      <c r="H210" s="25"/>
    </row>
    <row r="211" ht="12.75">
      <c r="H211" s="25"/>
    </row>
    <row r="212" ht="12.75">
      <c r="H212" s="25"/>
    </row>
    <row r="213" ht="12.75">
      <c r="H213" s="25"/>
    </row>
    <row r="214" ht="12.75">
      <c r="H214" s="25"/>
    </row>
    <row r="215" ht="12.75">
      <c r="H215" s="25"/>
    </row>
    <row r="216" ht="12.75">
      <c r="H216" s="25"/>
    </row>
    <row r="217" ht="12.75">
      <c r="H217" s="25"/>
    </row>
    <row r="218" ht="12.75">
      <c r="H218" s="25"/>
    </row>
    <row r="219" ht="12.75">
      <c r="H219" s="25"/>
    </row>
    <row r="220" ht="12.75">
      <c r="H220" s="25"/>
    </row>
    <row r="221" ht="12.75">
      <c r="H221" s="25"/>
    </row>
    <row r="222" ht="12.75">
      <c r="H222" s="25"/>
    </row>
    <row r="223" ht="12.75">
      <c r="H223" s="25"/>
    </row>
    <row r="224" ht="12.75">
      <c r="H224" s="25"/>
    </row>
    <row r="225" ht="12.75">
      <c r="H225" s="25"/>
    </row>
    <row r="226" ht="12.75">
      <c r="H226" s="25"/>
    </row>
    <row r="227" ht="12.75">
      <c r="H227" s="25"/>
    </row>
    <row r="228" ht="12.75">
      <c r="H228" s="25"/>
    </row>
    <row r="229" ht="12.75">
      <c r="H229" s="25"/>
    </row>
    <row r="230" ht="12.75">
      <c r="H230" s="25"/>
    </row>
    <row r="231" ht="12.75">
      <c r="H231" s="25"/>
    </row>
    <row r="232" ht="12.75">
      <c r="H232" s="25"/>
    </row>
    <row r="233" ht="12.75">
      <c r="H233" s="25"/>
    </row>
    <row r="234" ht="12.75">
      <c r="H234" s="25"/>
    </row>
    <row r="235" ht="12.75">
      <c r="H235" s="25"/>
    </row>
    <row r="236" ht="12.75">
      <c r="H236" s="25"/>
    </row>
    <row r="237" ht="12.75">
      <c r="H237" s="25"/>
    </row>
    <row r="238" ht="12.75">
      <c r="H238" s="25"/>
    </row>
    <row r="239" ht="12.75">
      <c r="H239" s="25"/>
    </row>
    <row r="240" ht="12.75">
      <c r="H240" s="25"/>
    </row>
    <row r="241" ht="12.75">
      <c r="H241" s="25"/>
    </row>
    <row r="242" ht="12.75">
      <c r="H242" s="25"/>
    </row>
    <row r="243" ht="12.75">
      <c r="H243" s="25"/>
    </row>
    <row r="244" ht="12.75">
      <c r="H244" s="25"/>
    </row>
    <row r="245" ht="12.75">
      <c r="H245" s="25"/>
    </row>
    <row r="246" ht="12.75">
      <c r="H246" s="25"/>
    </row>
    <row r="247" ht="12.75">
      <c r="H247" s="25"/>
    </row>
    <row r="248" ht="12.75">
      <c r="H248" s="25"/>
    </row>
    <row r="249" ht="12.75">
      <c r="H249" s="25"/>
    </row>
    <row r="250" ht="12.75">
      <c r="H250" s="25"/>
    </row>
    <row r="251" ht="12.75">
      <c r="H251" s="25"/>
    </row>
    <row r="252" ht="12.75">
      <c r="H252" s="25"/>
    </row>
    <row r="253" ht="12.75">
      <c r="H253" s="25"/>
    </row>
    <row r="254" ht="12.75">
      <c r="H254" s="25"/>
    </row>
    <row r="255" ht="12.75">
      <c r="H255" s="25"/>
    </row>
    <row r="256" ht="12.75">
      <c r="H256" s="25"/>
    </row>
    <row r="257" ht="12.75">
      <c r="H257" s="25"/>
    </row>
    <row r="258" ht="12.75">
      <c r="H258" s="25"/>
    </row>
    <row r="259" ht="12.75">
      <c r="H259" s="25"/>
    </row>
    <row r="260" ht="12.75">
      <c r="H260" s="25"/>
    </row>
    <row r="261" ht="12.75">
      <c r="H261" s="25"/>
    </row>
    <row r="262" ht="12.75">
      <c r="H262" s="25"/>
    </row>
    <row r="263" ht="12.75">
      <c r="H263" s="25"/>
    </row>
    <row r="264" ht="12.75">
      <c r="H264" s="25"/>
    </row>
    <row r="265" ht="12.75">
      <c r="H265" s="25"/>
    </row>
    <row r="266" ht="12.75">
      <c r="H266" s="25"/>
    </row>
    <row r="267" ht="12.75">
      <c r="H267" s="25"/>
    </row>
    <row r="268" ht="12.75">
      <c r="H268" s="25"/>
    </row>
    <row r="269" ht="12.75">
      <c r="H269" s="25"/>
    </row>
    <row r="270" ht="12.75">
      <c r="H270" s="25"/>
    </row>
    <row r="271" ht="12.75">
      <c r="H271" s="25"/>
    </row>
    <row r="272" ht="12.75">
      <c r="H272" s="25"/>
    </row>
    <row r="273" ht="12.75">
      <c r="H273" s="25"/>
    </row>
    <row r="274" ht="12.75">
      <c r="H274" s="25"/>
    </row>
    <row r="275" ht="12.75">
      <c r="H275" s="25"/>
    </row>
    <row r="276" ht="12.75">
      <c r="H276" s="25"/>
    </row>
    <row r="277" ht="12.75">
      <c r="H277" s="25"/>
    </row>
    <row r="278" ht="12.75">
      <c r="H278" s="25"/>
    </row>
    <row r="279" ht="12.75">
      <c r="H279" s="25"/>
    </row>
    <row r="280" ht="12.75">
      <c r="H280" s="25"/>
    </row>
    <row r="281" ht="12.75">
      <c r="H281" s="25"/>
    </row>
    <row r="282" ht="12.75">
      <c r="H282" s="25"/>
    </row>
    <row r="283" ht="12.75">
      <c r="H283" s="25"/>
    </row>
    <row r="284" ht="12.75">
      <c r="H284" s="25"/>
    </row>
    <row r="285" ht="12.75">
      <c r="H285" s="25"/>
    </row>
    <row r="286" ht="12.75">
      <c r="H286" s="25"/>
    </row>
    <row r="287" ht="12.75">
      <c r="H287" s="25"/>
    </row>
    <row r="288" ht="12.75">
      <c r="H288" s="25"/>
    </row>
    <row r="289" ht="12.75">
      <c r="H289" s="25"/>
    </row>
    <row r="290" ht="12.75">
      <c r="H290" s="25"/>
    </row>
    <row r="291" ht="12.75">
      <c r="H291" s="25"/>
    </row>
  </sheetData>
  <sheetProtection/>
  <mergeCells count="6">
    <mergeCell ref="A1:G1"/>
    <mergeCell ref="A3:G3"/>
    <mergeCell ref="A157:C157"/>
    <mergeCell ref="A4:B4"/>
    <mergeCell ref="C4:F4"/>
    <mergeCell ref="A2:G2"/>
  </mergeCells>
  <printOptions/>
  <pageMargins left="0.7480314960629921" right="0.15748031496062992" top="0.03937007874015748" bottom="0.03937007874015748" header="0.15748031496062992" footer="0.03937007874015748"/>
  <pageSetup horizontalDpi="600" verticalDpi="600" orientation="portrait" paperSize="9" scale="65" r:id="rId1"/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Главбух</cp:lastModifiedBy>
  <cp:lastPrinted>2018-01-15T07:19:18Z</cp:lastPrinted>
  <dcterms:created xsi:type="dcterms:W3CDTF">2016-02-15T06:23:39Z</dcterms:created>
  <dcterms:modified xsi:type="dcterms:W3CDTF">2018-01-15T07:19:25Z</dcterms:modified>
  <cp:category/>
  <cp:version/>
  <cp:contentType/>
  <cp:contentStatus/>
</cp:coreProperties>
</file>