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<sst xmlns="http://schemas.openxmlformats.org/spreadsheetml/2006/main" count="315" uniqueCount="192">
  <si>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</si>
  <si>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</si>
  <si>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</si>
  <si>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</si>
  <si>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</si>
  <si>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</si>
  <si>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</si>
  <si>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</si>
  <si>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</si>
  <si>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</si>
  <si>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</si>
  <si>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</si>
  <si>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</si>
  <si>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</si>
  <si>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</si>
  <si>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</si>
  <si>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</si>
  <si>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</si>
  <si>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</si>
  <si>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</si>
  <si>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</si>
  <si>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</si>
  <si>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</si>
  <si>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</si>
  <si>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</si>
  <si>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</si>
  <si>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</si>
  <si>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</si>
  <si>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</si>
  <si>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</si>
  <si>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</si>
  <si>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</si>
  <si>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</si>
  <si>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</si>
  <si>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</si>
  <si>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</si>
  <si>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</si>
  <si>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</si>
  <si>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</si>
  <si>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</si>
  <si>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</si>
  <si>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</si>
  <si>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</si>
  <si>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</si>
  <si>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</si>
  <si>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</si>
  <si>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</si>
  <si>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</si>
  <si>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</si>
  <si>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</si>
  <si>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</si>
  <si>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</si>
  <si>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</si>
  <si>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</si>
  <si>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</si>
  <si>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</si>
  <si>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</si>
  <si>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</si>
  <si>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</si>
  <si>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</si>
  <si>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</si>
  <si>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</si>
  <si>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</si>
  <si>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</si>
  <si>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</si>
  <si>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</si>
  <si>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</si>
  <si>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</si>
  <si>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</si>
  <si>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</si>
  <si>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</si>
  <si>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</si>
  <si>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</si>
  <si>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</si>
  <si>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</si>
  <si>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</si>
  <si>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</si>
  <si>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</si>
  <si>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</si>
  <si>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</si>
  <si>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</si>
  <si>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</si>
  <si>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</si>
  <si>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</si>
  <si>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</si>
  <si>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</si>
  <si>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</si>
  <si>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</si>
  <si>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</si>
  <si>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</si>
  <si>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</si>
  <si>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</si>
  <si>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</si>
  <si>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</si>
  <si>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</si>
  <si>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</si>
  <si>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</si>
  <si>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</si>
  <si>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</si>
  <si>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</si>
  <si>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</si>
  <si>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</si>
  <si>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</si>
  <si>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</si>
  <si>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</si>
  <si>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</si>
  <si>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</si>
  <si>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</si>
  <si>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</si>
  <si>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</si>
  <si>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</si>
  <si>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</si>
  <si>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</si>
  <si>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</si>
  <si>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</si>
  <si>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</si>
  <si>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</si>
  <si>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</si>
  <si>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</si>
  <si>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</si>
  <si>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</si>
  <si>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</si>
  <si>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</si>
  <si>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</si>
  <si>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</si>
  <si>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</si>
  <si>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</si>
  <si>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</si>
  <si>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</si>
  <si>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</si>
  <si>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</si>
  <si>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</si>
  <si>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</si>
  <si>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</si>
  <si>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</si>
  <si>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</si>
  <si>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</si>
  <si>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</si>
  <si>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</si>
  <si>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</si>
  <si>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</si>
  <si>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</si>
  <si>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</si>
  <si>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</si>
  <si>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</si>
  <si>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</si>
  <si>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</si>
  <si>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</si>
  <si>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</si>
  <si>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</si>
  <si>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</si>
  <si>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</si>
  <si>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</si>
  <si>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</si>
  <si>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</si>
  <si>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</si>
  <si>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</si>
  <si>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</si>
  <si>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</si>
  <si>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</si>
  <si>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</si>
  <si>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</si>
  <si>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</si>
  <si>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</si>
  <si>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</si>
  <si>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</si>
  <si>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</si>
  <si>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</si>
  <si>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</si>
  <si>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</si>
  <si>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</si>
  <si>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</si>
  <si>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</si>
  <si>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</si>
  <si>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</si>
  <si>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</si>
  <si>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</si>
  <si>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</si>
  <si>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</si>
  <si>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</si>
  <si>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</si>
  <si>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</si>
  <si>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</si>
  <si>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</si>
  <si>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</si>
  <si>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</si>
  <si>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</si>
  <si>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</si>
  <si>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</si>
  <si>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на 01 ноября 2017г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</si>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</sst>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7" fillId="24" borderId="11" xfId="0" applyNumberFormat="1" applyFont="1" applyFill="1" applyBorder="1" applyAlignment="1">
      <alignment horizontal="right" wrapText="1"/>
    </xf>
    <xf numFmtId="167" fontId="7" fillId="24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A1">
      <selection activeCell="G160" sqref="A1:G160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2" t="s">
        <v>29</v>
      </c>
      <c r="B1" s="32"/>
      <c r="C1" s="32"/>
      <c r="D1" s="32"/>
      <c r="E1" s="32"/>
      <c r="F1" s="32"/>
      <c r="G1" s="32"/>
    </row>
    <row r="2" spans="1:7" ht="12.75">
      <c r="A2" s="37" t="s">
        <v>79</v>
      </c>
      <c r="B2" s="37"/>
      <c r="C2" s="37"/>
      <c r="D2" s="37"/>
      <c r="E2" s="37"/>
      <c r="F2" s="37"/>
      <c r="G2" s="37"/>
    </row>
    <row r="3" spans="1:7" ht="12.75" customHeight="1">
      <c r="A3" s="32" t="s">
        <v>189</v>
      </c>
      <c r="B3" s="32"/>
      <c r="C3" s="32"/>
      <c r="D3" s="32"/>
      <c r="E3" s="32"/>
      <c r="F3" s="32"/>
      <c r="G3" s="32"/>
    </row>
    <row r="4" spans="1:7" ht="12.75">
      <c r="A4" s="33" t="s">
        <v>34</v>
      </c>
      <c r="B4" s="34"/>
      <c r="C4" s="35" t="s">
        <v>168</v>
      </c>
      <c r="D4" s="36"/>
      <c r="E4" s="36"/>
      <c r="F4" s="36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D7+D10+D13+D22+D31+D106+D109+D112+D115+D123+D127+D131+D135+D137+D142+D147+D152</f>
        <v>49621046.3</v>
      </c>
      <c r="E6" s="13">
        <f>E7+E10+E13+E22+E31+E106+E109+E112+E123+E127+E131+E137+E142+E147+E152+E115</f>
        <v>0</v>
      </c>
      <c r="F6" s="20">
        <f>F7+F10+F13+F22+F31+F106+F109+F112+F115+F123+F127+F131+F135+F137+F142+F147+F152</f>
        <v>30864361.060000002</v>
      </c>
      <c r="G6" s="13">
        <f>G7+G10+G13+G22+G31+G106+G109+G112+G123+G127+G131+G137+G142+G147+G152+G115</f>
        <v>0</v>
      </c>
      <c r="H6" s="26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731351.48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19">
        <f>F9</f>
        <v>731351.48</v>
      </c>
      <c r="G8" s="7">
        <f t="shared" si="0"/>
        <v>0</v>
      </c>
      <c r="H8" s="26">
        <f>D8-F8</f>
        <v>226648.52000000002</v>
      </c>
      <c r="I8" s="24"/>
    </row>
    <row r="9" spans="1:9" ht="15" customHeight="1">
      <c r="A9" s="5"/>
      <c r="B9" s="6" t="s">
        <v>82</v>
      </c>
      <c r="C9" s="6" t="s">
        <v>144</v>
      </c>
      <c r="D9" s="19">
        <v>958000</v>
      </c>
      <c r="E9" s="7"/>
      <c r="F9" s="19">
        <f>14000+83814+79814+51802+10012+25207+43937+9913+24208.3+13000+33824.55+10603+21217.5+1467.2+17962+18641+11099.14+21618+10000+13792+34651+13000+46894+12844.5+20000+59112+10918.29+18000</f>
        <v>731351.48</v>
      </c>
      <c r="G9" s="7"/>
      <c r="H9" s="26">
        <f aca="true" t="shared" si="1" ref="H9:H72">D9-F9</f>
        <v>226648.52000000002</v>
      </c>
      <c r="I9" s="24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289000</v>
      </c>
      <c r="E10" s="13">
        <f t="shared" si="2"/>
        <v>0</v>
      </c>
      <c r="F10" s="20">
        <f t="shared" si="2"/>
        <v>221796.18</v>
      </c>
      <c r="G10" s="13">
        <f t="shared" si="2"/>
        <v>0</v>
      </c>
      <c r="H10" s="26">
        <f t="shared" si="1"/>
        <v>67203.82</v>
      </c>
      <c r="I10" s="24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2"/>
        <v>0</v>
      </c>
      <c r="F11" s="19">
        <f>F12</f>
        <v>221796.18</v>
      </c>
      <c r="G11" s="7">
        <f t="shared" si="2"/>
        <v>0</v>
      </c>
      <c r="H11" s="26">
        <f t="shared" si="1"/>
        <v>67203.82</v>
      </c>
      <c r="I11" s="24"/>
    </row>
    <row r="12" spans="1:9" ht="17.25" customHeight="1">
      <c r="A12" s="5"/>
      <c r="B12" s="6" t="s">
        <v>83</v>
      </c>
      <c r="C12" s="6" t="s">
        <v>145</v>
      </c>
      <c r="D12" s="7">
        <v>289000</v>
      </c>
      <c r="E12" s="7"/>
      <c r="F12" s="19">
        <f>9991.96+22078.06+24103.82+24103.82+23875.33+1627.45+24224.42+1479.5+20367.01+24176.61+21967+23801.2</f>
        <v>221796.18</v>
      </c>
      <c r="G12" s="7"/>
      <c r="H12" s="26">
        <f t="shared" si="1"/>
        <v>67203.82</v>
      </c>
      <c r="I12" s="24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2762200</v>
      </c>
      <c r="E13" s="10">
        <f>E14+E16+E18+E20</f>
        <v>0</v>
      </c>
      <c r="F13" s="21">
        <f>F14+F16+F18+F20</f>
        <v>2160489.68</v>
      </c>
      <c r="G13" s="10">
        <f>G14+G16+G18+G20</f>
        <v>0</v>
      </c>
      <c r="H13" s="26">
        <f t="shared" si="1"/>
        <v>601710.3199999998</v>
      </c>
      <c r="I13" s="24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6">
        <f t="shared" si="1"/>
        <v>0</v>
      </c>
      <c r="I14" s="24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6">
        <f t="shared" si="1"/>
        <v>0</v>
      </c>
      <c r="I15" s="24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6">
        <f t="shared" si="1"/>
        <v>0</v>
      </c>
      <c r="I16" s="24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6">
        <f t="shared" si="1"/>
        <v>0</v>
      </c>
      <c r="I17" s="24"/>
    </row>
    <row r="18" spans="1:256" ht="49.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19">
        <f>F19</f>
        <v>2068376.08</v>
      </c>
      <c r="G18" s="7">
        <f>G19</f>
        <v>0</v>
      </c>
      <c r="H18" s="26">
        <f t="shared" si="1"/>
        <v>574623.9199999999</v>
      </c>
      <c r="I18" s="24"/>
      <c r="IV18">
        <f>SUM(A18:IU18)</f>
        <v>5286002.5</v>
      </c>
    </row>
    <row r="19" spans="1:9" ht="18" customHeight="1">
      <c r="A19" s="5"/>
      <c r="B19" s="6" t="s">
        <v>86</v>
      </c>
      <c r="C19" s="6" t="s">
        <v>144</v>
      </c>
      <c r="D19" s="19">
        <f>2021000+622000</f>
        <v>2643000</v>
      </c>
      <c r="E19" s="7"/>
      <c r="F19" s="19">
        <f>1378457.48+504446.27+87120+18486+6854.62+24011.71+33000+16000</f>
        <v>2068376.08</v>
      </c>
      <c r="G19" s="7"/>
      <c r="H19" s="26">
        <f t="shared" si="1"/>
        <v>574623.9199999999</v>
      </c>
      <c r="I19" s="24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19">
        <f>F21</f>
        <v>92113.6</v>
      </c>
      <c r="G20" s="7">
        <f>G21</f>
        <v>0</v>
      </c>
      <c r="H20" s="26">
        <f t="shared" si="1"/>
        <v>27086.399999999994</v>
      </c>
      <c r="I20" s="24"/>
    </row>
    <row r="21" spans="1:9" ht="18.75" customHeight="1">
      <c r="A21" s="5"/>
      <c r="B21" s="6" t="s">
        <v>87</v>
      </c>
      <c r="C21" s="6" t="s">
        <v>144</v>
      </c>
      <c r="D21" s="7">
        <f>119200</f>
        <v>119200</v>
      </c>
      <c r="E21" s="7"/>
      <c r="F21" s="19">
        <f>87113.6+5000</f>
        <v>92113.6</v>
      </c>
      <c r="G21" s="7"/>
      <c r="H21" s="26">
        <f t="shared" si="1"/>
        <v>27086.399999999994</v>
      </c>
      <c r="I21" s="24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834000</v>
      </c>
      <c r="E22" s="13">
        <f>E23+E25+E27+E29</f>
        <v>0</v>
      </c>
      <c r="F22" s="20">
        <f>F23+F25+F27+F29</f>
        <v>697956.58</v>
      </c>
      <c r="G22" s="13">
        <f>G23+G25+G27+G29</f>
        <v>0</v>
      </c>
      <c r="H22" s="26">
        <f t="shared" si="1"/>
        <v>136043.42000000004</v>
      </c>
      <c r="I22" s="24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6">
        <f t="shared" si="1"/>
        <v>0</v>
      </c>
      <c r="I23" s="24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6">
        <f t="shared" si="1"/>
        <v>0</v>
      </c>
      <c r="I24" s="24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6">
        <f t="shared" si="1"/>
        <v>0</v>
      </c>
      <c r="I25" s="24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6">
        <f t="shared" si="1"/>
        <v>0</v>
      </c>
      <c r="I26" s="24"/>
    </row>
    <row r="27" spans="1:9" ht="48.75" customHeight="1">
      <c r="A27" s="5">
        <v>2.5</v>
      </c>
      <c r="B27" s="6" t="s">
        <v>22</v>
      </c>
      <c r="C27" s="6" t="s">
        <v>10</v>
      </c>
      <c r="D27" s="7">
        <f>D28</f>
        <v>798000</v>
      </c>
      <c r="E27" s="7">
        <f>E28</f>
        <v>0</v>
      </c>
      <c r="F27" s="19">
        <f>F28</f>
        <v>670595.1799999999</v>
      </c>
      <c r="G27" s="7">
        <f>G28</f>
        <v>0</v>
      </c>
      <c r="H27" s="26">
        <f t="shared" si="1"/>
        <v>127404.82000000007</v>
      </c>
      <c r="I27" s="24"/>
    </row>
    <row r="28" spans="1:9" ht="18" customHeight="1">
      <c r="A28" s="5"/>
      <c r="B28" s="6" t="s">
        <v>90</v>
      </c>
      <c r="C28" s="6" t="s">
        <v>145</v>
      </c>
      <c r="D28" s="19">
        <f>610000+188000</f>
        <v>798000</v>
      </c>
      <c r="E28" s="7"/>
      <c r="F28" s="19">
        <f>442322.11+152080.59+14786.53+54327.2+7078.75</f>
        <v>670595.1799999999</v>
      </c>
      <c r="G28" s="7"/>
      <c r="H28" s="26">
        <f t="shared" si="1"/>
        <v>127404.82000000007</v>
      </c>
      <c r="I28" s="24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19">
        <f>F30</f>
        <v>27361.4</v>
      </c>
      <c r="G29" s="7">
        <f>G30</f>
        <v>0</v>
      </c>
      <c r="H29" s="26">
        <f t="shared" si="1"/>
        <v>8638.599999999999</v>
      </c>
      <c r="I29" s="24"/>
    </row>
    <row r="30" spans="1:9" ht="18.75" customHeight="1">
      <c r="A30" s="5"/>
      <c r="B30" s="6" t="s">
        <v>91</v>
      </c>
      <c r="C30" s="6" t="s">
        <v>145</v>
      </c>
      <c r="D30" s="7">
        <v>36000</v>
      </c>
      <c r="E30" s="7"/>
      <c r="F30" s="19">
        <f>27361.4</f>
        <v>27361.4</v>
      </c>
      <c r="G30" s="7"/>
      <c r="H30" s="26">
        <f t="shared" si="1"/>
        <v>8638.599999999999</v>
      </c>
      <c r="I30" s="24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22885878.43</v>
      </c>
      <c r="E31" s="13">
        <f>E32+E37+E47+E55+E58+E63+E66+E70+E74+E81+E84+E89+E93+E102</f>
        <v>0</v>
      </c>
      <c r="F31" s="20">
        <f>F32+F37+F47+F55+F58+F63+F66+F70+F74+F81+F84+F89+F93+F102</f>
        <v>17565024.58</v>
      </c>
      <c r="G31" s="13">
        <f>G32+G37+G47+G55+G58+G63+G66+G70+G74+G81+G84+G89+G93+G102</f>
        <v>0</v>
      </c>
      <c r="H31" s="26">
        <f t="shared" si="1"/>
        <v>5320853.8500000015</v>
      </c>
      <c r="I31" s="24"/>
    </row>
    <row r="32" spans="1:9" s="3" customFormat="1" ht="25.5" customHeight="1">
      <c r="A32" s="8">
        <v>2.4</v>
      </c>
      <c r="B32" s="9" t="s">
        <v>179</v>
      </c>
      <c r="C32" s="28" t="s">
        <v>184</v>
      </c>
      <c r="D32" s="10">
        <f>D33+D34+D35+D36</f>
        <v>8000</v>
      </c>
      <c r="E32" s="10">
        <f>E33+E34+E35+E36</f>
        <v>0</v>
      </c>
      <c r="F32" s="21">
        <f>F33+F34+F35+F36</f>
        <v>7579.610000000001</v>
      </c>
      <c r="G32" s="10">
        <f>G33+G34+G35+G36</f>
        <v>0</v>
      </c>
      <c r="H32" s="26">
        <f t="shared" si="1"/>
        <v>420.3899999999994</v>
      </c>
      <c r="I32" s="24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6">
        <f t="shared" si="1"/>
        <v>0</v>
      </c>
      <c r="I33" s="24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6">
        <f t="shared" si="1"/>
        <v>0</v>
      </c>
      <c r="I34" s="24"/>
    </row>
    <row r="35" spans="1:9" ht="17.25" customHeight="1">
      <c r="A35" s="5"/>
      <c r="B35" s="6" t="s">
        <v>182</v>
      </c>
      <c r="C35" s="6" t="s">
        <v>148</v>
      </c>
      <c r="D35" s="19">
        <f>3000+2000+1000+2000</f>
        <v>8000</v>
      </c>
      <c r="E35" s="7"/>
      <c r="F35" s="19">
        <f>2781.88+696.4+2292.91+1808.42</f>
        <v>7579.610000000001</v>
      </c>
      <c r="G35" s="7"/>
      <c r="H35" s="26">
        <f t="shared" si="1"/>
        <v>420.3899999999994</v>
      </c>
      <c r="I35" s="24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6">
        <f t="shared" si="1"/>
        <v>0</v>
      </c>
      <c r="I36" s="24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1973000</v>
      </c>
      <c r="E37" s="10">
        <f>E38+E39+E40+E41+E42+E43+E45+E46</f>
        <v>0</v>
      </c>
      <c r="F37" s="21">
        <f>F38+F39+F40+F41+F42+F43+F45+F46+F44</f>
        <v>1574810.0700000003</v>
      </c>
      <c r="G37" s="10">
        <f>G38+G39+G40+G41+G42+G43+G45+G46</f>
        <v>0</v>
      </c>
      <c r="H37" s="26">
        <f t="shared" si="1"/>
        <v>398189.9299999997</v>
      </c>
      <c r="I37" s="24"/>
    </row>
    <row r="38" spans="1:9" ht="18" customHeight="1">
      <c r="A38" s="5"/>
      <c r="B38" s="6" t="s">
        <v>92</v>
      </c>
      <c r="C38" s="6" t="s">
        <v>146</v>
      </c>
      <c r="D38" s="19">
        <v>151000</v>
      </c>
      <c r="E38" s="7"/>
      <c r="F38" s="19">
        <f>13409.98+13057.39+12195.38+12148.48+12680.89+40.14+10394.98+585.91+11983.28+12519.86+404.86+12093.86+10827.38+19.28</f>
        <v>122361.67</v>
      </c>
      <c r="G38" s="7"/>
      <c r="H38" s="26">
        <f t="shared" si="1"/>
        <v>28638.33</v>
      </c>
      <c r="I38" s="24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6">
        <f t="shared" si="1"/>
        <v>0</v>
      </c>
      <c r="I39" s="24"/>
    </row>
    <row r="40" spans="1:9" ht="17.25" customHeight="1">
      <c r="A40" s="5"/>
      <c r="B40" s="6" t="s">
        <v>94</v>
      </c>
      <c r="C40" s="6" t="s">
        <v>148</v>
      </c>
      <c r="D40" s="19">
        <f>572000-3000-2000-1000-2000+2000</f>
        <v>566000</v>
      </c>
      <c r="E40" s="7"/>
      <c r="F40" s="19">
        <f>69175.63+43638.03+51502.68+2000+37573.12-16344+2000+18.79+14225.24+2877.32+50.2+244.02+91.35+135.63+2607.71+5000+4514.54+19269.76+2000+2422.13+3180.32+41353.11+2000+50.2+117.45+18.79+313.74+19.44+67.5+51.96+180.4+2000+4517.08+28691.61+200+2000+5000+4278.16+368.88+3000+19.44+216.48+81+51.96+5000</f>
        <v>345779.67000000004</v>
      </c>
      <c r="G40" s="7"/>
      <c r="H40" s="26">
        <f t="shared" si="1"/>
        <v>220220.32999999996</v>
      </c>
      <c r="I40" s="24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19"/>
      <c r="G41" s="7"/>
      <c r="H41" s="26">
        <f t="shared" si="1"/>
        <v>0</v>
      </c>
      <c r="I41" s="24"/>
    </row>
    <row r="42" spans="1:9" ht="16.5" customHeight="1">
      <c r="A42" s="5"/>
      <c r="B42" s="6" t="s">
        <v>95</v>
      </c>
      <c r="C42" s="6" t="s">
        <v>149</v>
      </c>
      <c r="D42" s="19">
        <v>565000</v>
      </c>
      <c r="E42" s="7"/>
      <c r="F42" s="19">
        <f>8736.35+146258.13+21666.66+10002+4967.09+2529.34+6562+22075.75+10003+2483.5+10001+4968.1+12182.66+740+28003+31092+13904.46+6562+473.39+2607.71+2877.32+135.63+8903.39+6562+2877.32+2607.71+143.11+17528+6521.95+10003+4967.09+143.11+2607.71+2877.32+2500+1350+300+6562+10002+5464.39+2877.32+143.11+2607.71+10090+24796+6562+76</f>
        <v>487903.3300000002</v>
      </c>
      <c r="G42" s="7"/>
      <c r="H42" s="26">
        <f t="shared" si="1"/>
        <v>77096.66999999981</v>
      </c>
      <c r="I42" s="24"/>
    </row>
    <row r="43" spans="1:9" ht="16.5" customHeight="1">
      <c r="A43" s="5"/>
      <c r="B43" s="6" t="s">
        <v>96</v>
      </c>
      <c r="C43" s="6" t="s">
        <v>151</v>
      </c>
      <c r="D43" s="19">
        <v>212000</v>
      </c>
      <c r="E43" s="7"/>
      <c r="F43" s="19">
        <f>10025.74+64499.69+4075.63+4554+1620+14400+10440+7666.59+4321.38+6562+2200+4960+150.8+1287+800+540+2300+6000+124+4968+10005+3668.07+1100+300+1000+648+562.5+24000+546+3642.96+2500+756</f>
        <v>200223.36000000002</v>
      </c>
      <c r="G43" s="7"/>
      <c r="H43" s="26">
        <f t="shared" si="1"/>
        <v>11776.639999999985</v>
      </c>
      <c r="I43" s="24"/>
    </row>
    <row r="44" spans="1:9" ht="16.5" customHeight="1">
      <c r="A44" s="5"/>
      <c r="B44" s="6" t="s">
        <v>141</v>
      </c>
      <c r="C44" s="6" t="s">
        <v>154</v>
      </c>
      <c r="D44" s="19">
        <v>15000</v>
      </c>
      <c r="E44" s="7"/>
      <c r="F44" s="19">
        <f>1265.58+200</f>
        <v>1465.58</v>
      </c>
      <c r="G44" s="7"/>
      <c r="H44" s="26">
        <f t="shared" si="1"/>
        <v>13534.42</v>
      </c>
      <c r="I44" s="24"/>
    </row>
    <row r="45" spans="1:9" ht="16.5" customHeight="1">
      <c r="A45" s="5"/>
      <c r="B45" s="6" t="s">
        <v>126</v>
      </c>
      <c r="C45" s="6" t="s">
        <v>152</v>
      </c>
      <c r="D45" s="7">
        <v>50000</v>
      </c>
      <c r="E45" s="7"/>
      <c r="F45" s="19">
        <f>31560</f>
        <v>31560</v>
      </c>
      <c r="G45" s="7"/>
      <c r="H45" s="26">
        <f t="shared" si="1"/>
        <v>18440</v>
      </c>
      <c r="I45" s="24"/>
    </row>
    <row r="46" spans="1:9" ht="16.5" customHeight="1">
      <c r="A46" s="5"/>
      <c r="B46" s="6" t="s">
        <v>127</v>
      </c>
      <c r="C46" s="6" t="s">
        <v>153</v>
      </c>
      <c r="D46" s="19">
        <v>414000</v>
      </c>
      <c r="E46" s="7"/>
      <c r="F46" s="19">
        <f>23975.8+56159.47+31399.98+6540+5550+5451.62+2474+1950+2868.45+18428+7500+3880+4330+1171+4849+3276.54+3916+14855+4578.7+4900+6380+5466.5+5000+5850+4500+6715.09+2555+6600.39+1611+5780+10437+2660+4500+1630+15000+985+2660+7273.32+521+2179.1+2870+5320+2900+3500+4180+344+10990+490+15922.19+4750+9558.31+10565+7770</f>
        <v>385516.46</v>
      </c>
      <c r="G46" s="7"/>
      <c r="H46" s="26">
        <f t="shared" si="1"/>
        <v>28483.53999999998</v>
      </c>
      <c r="I46" s="24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13700</v>
      </c>
      <c r="G47" s="10">
        <f>G48+G49+G50+G51+G52+G53+G54</f>
        <v>0</v>
      </c>
      <c r="H47" s="26">
        <f t="shared" si="1"/>
        <v>2000</v>
      </c>
      <c r="I47" s="24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>
        <v>2000</v>
      </c>
      <c r="G48" s="7"/>
      <c r="H48" s="26">
        <f t="shared" si="1"/>
        <v>2000</v>
      </c>
      <c r="I48" s="24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6">
        <f t="shared" si="1"/>
        <v>0</v>
      </c>
      <c r="I49" s="24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6">
        <f t="shared" si="1"/>
        <v>0</v>
      </c>
      <c r="I50" s="24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6">
        <f t="shared" si="1"/>
        <v>0</v>
      </c>
      <c r="I51" s="24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6">
        <f t="shared" si="1"/>
        <v>0</v>
      </c>
      <c r="I52" s="24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6">
        <f t="shared" si="1"/>
        <v>0</v>
      </c>
      <c r="I53" s="24"/>
    </row>
    <row r="54" spans="1:9" ht="17.25" customHeight="1">
      <c r="A54" s="5"/>
      <c r="B54" s="6" t="s">
        <v>130</v>
      </c>
      <c r="C54" s="6" t="s">
        <v>153</v>
      </c>
      <c r="D54" s="7">
        <f>3000+8700</f>
        <v>11700</v>
      </c>
      <c r="E54" s="7"/>
      <c r="F54" s="19">
        <f>6000+1200+4500</f>
        <v>11700</v>
      </c>
      <c r="G54" s="7"/>
      <c r="H54" s="26">
        <f t="shared" si="1"/>
        <v>0</v>
      </c>
      <c r="I54" s="24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70000</v>
      </c>
      <c r="E55" s="10">
        <f>E56+E57</f>
        <v>0</v>
      </c>
      <c r="F55" s="21">
        <f>F56+F57</f>
        <v>0</v>
      </c>
      <c r="G55" s="10">
        <f>G56+G57</f>
        <v>0</v>
      </c>
      <c r="H55" s="26">
        <f t="shared" si="1"/>
        <v>70000</v>
      </c>
      <c r="I55" s="24"/>
    </row>
    <row r="56" spans="1:9" ht="16.5" customHeight="1">
      <c r="A56" s="5"/>
      <c r="B56" s="6" t="s">
        <v>97</v>
      </c>
      <c r="C56" s="6" t="s">
        <v>149</v>
      </c>
      <c r="D56" s="7">
        <f>200000-115000-15000</f>
        <v>70000</v>
      </c>
      <c r="E56" s="7"/>
      <c r="F56" s="19"/>
      <c r="G56" s="7"/>
      <c r="H56" s="26">
        <f t="shared" si="1"/>
        <v>70000</v>
      </c>
      <c r="I56" s="24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6">
        <f t="shared" si="1"/>
        <v>0</v>
      </c>
      <c r="I57" s="24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</f>
        <v>5386632</v>
      </c>
      <c r="E58" s="10">
        <f>E60+E61</f>
        <v>0</v>
      </c>
      <c r="F58" s="21">
        <f>F59+F60+F61+F62</f>
        <v>3952807</v>
      </c>
      <c r="G58" s="10">
        <f>G60+G61</f>
        <v>0</v>
      </c>
      <c r="H58" s="26">
        <f t="shared" si="1"/>
        <v>1433825</v>
      </c>
      <c r="I58" s="24"/>
    </row>
    <row r="59" spans="1:9" s="3" customFormat="1" ht="20.25" customHeight="1">
      <c r="A59" s="8"/>
      <c r="B59" s="6" t="s">
        <v>177</v>
      </c>
      <c r="C59" s="6" t="s">
        <v>147</v>
      </c>
      <c r="D59" s="27">
        <f>2000</f>
        <v>2000</v>
      </c>
      <c r="E59" s="10"/>
      <c r="F59" s="29">
        <v>1910.01</v>
      </c>
      <c r="G59" s="10"/>
      <c r="H59" s="26">
        <f t="shared" si="1"/>
        <v>89.99000000000001</v>
      </c>
      <c r="I59" s="24"/>
    </row>
    <row r="60" spans="1:9" ht="18" customHeight="1">
      <c r="A60" s="5"/>
      <c r="B60" s="6" t="s">
        <v>103</v>
      </c>
      <c r="C60" s="6" t="s">
        <v>149</v>
      </c>
      <c r="D60" s="7">
        <f>1187000+200000-32000+1500000+2565458+1401709-1200000-347535-370000+15000+65000</f>
        <v>4984632</v>
      </c>
      <c r="E60" s="7"/>
      <c r="F60" s="19">
        <f>95491+262153.74+97008+97500+50000+3855.03+554.06+448.97+676031.29+40000+2231940.73+1070.51+318.66</f>
        <v>3556371.99</v>
      </c>
      <c r="G60" s="7"/>
      <c r="H60" s="26">
        <f t="shared" si="1"/>
        <v>1428260.0099999998</v>
      </c>
      <c r="I60" s="24"/>
    </row>
    <row r="61" spans="1:9" ht="17.25" customHeight="1">
      <c r="A61" s="5"/>
      <c r="B61" s="6" t="s">
        <v>104</v>
      </c>
      <c r="C61" s="6" t="s">
        <v>151</v>
      </c>
      <c r="D61" s="7"/>
      <c r="E61" s="7"/>
      <c r="F61" s="19"/>
      <c r="G61" s="7"/>
      <c r="H61" s="26">
        <f t="shared" si="1"/>
        <v>0</v>
      </c>
      <c r="I61" s="24"/>
    </row>
    <row r="62" spans="1:9" ht="17.25" customHeight="1">
      <c r="A62" s="5"/>
      <c r="B62" s="6" t="s">
        <v>171</v>
      </c>
      <c r="C62" s="6" t="s">
        <v>153</v>
      </c>
      <c r="D62" s="19">
        <f>30000+370000</f>
        <v>400000</v>
      </c>
      <c r="E62" s="7"/>
      <c r="F62" s="19">
        <f>26525+368000</f>
        <v>394525</v>
      </c>
      <c r="G62" s="7"/>
      <c r="H62" s="26">
        <f t="shared" si="1"/>
        <v>5475</v>
      </c>
      <c r="I62" s="24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4095446.43</v>
      </c>
      <c r="E63" s="10">
        <f>E64</f>
        <v>0</v>
      </c>
      <c r="F63" s="21">
        <f>F65+F64</f>
        <v>3920912.1799999997</v>
      </c>
      <c r="G63" s="10">
        <f>G64</f>
        <v>0</v>
      </c>
      <c r="H63" s="26">
        <f t="shared" si="1"/>
        <v>174534.25000000047</v>
      </c>
      <c r="I63" s="24"/>
    </row>
    <row r="64" spans="1:11" ht="19.5" customHeight="1">
      <c r="A64" s="5"/>
      <c r="B64" s="6" t="s">
        <v>176</v>
      </c>
      <c r="C64" s="6" t="s">
        <v>149</v>
      </c>
      <c r="D64" s="7">
        <f>4636200+515200+5000-5000-1059400-125000-65000</f>
        <v>3902000</v>
      </c>
      <c r="E64" s="7"/>
      <c r="F64" s="19">
        <f>199118.32+1792180+142611.12+1636540</f>
        <v>3770449.44</v>
      </c>
      <c r="G64" s="7"/>
      <c r="H64" s="26">
        <f t="shared" si="1"/>
        <v>131550.56000000006</v>
      </c>
      <c r="I64" s="24"/>
      <c r="J64">
        <v>3576800</v>
      </c>
      <c r="K64" s="24">
        <f>F64</f>
        <v>3770449.44</v>
      </c>
    </row>
    <row r="65" spans="1:9" ht="19.5" customHeight="1">
      <c r="A65" s="5"/>
      <c r="B65" s="6" t="s">
        <v>178</v>
      </c>
      <c r="C65" s="6" t="s">
        <v>151</v>
      </c>
      <c r="D65" s="19">
        <f>7500+5000+7000+946.43+5000-2000+45000+125000</f>
        <v>193446.43</v>
      </c>
      <c r="E65" s="7"/>
      <c r="F65" s="19">
        <f>11941.09+10997.25+42524.4+10000+75000</f>
        <v>150462.74</v>
      </c>
      <c r="G65" s="7"/>
      <c r="H65" s="26">
        <f t="shared" si="1"/>
        <v>42983.69</v>
      </c>
      <c r="I65" s="24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448000</v>
      </c>
      <c r="E66" s="10">
        <f>E67+E68+E69</f>
        <v>0</v>
      </c>
      <c r="F66" s="21">
        <f>F67+F68+F69</f>
        <v>258241.68999999997</v>
      </c>
      <c r="G66" s="10">
        <f>G67+G68+G69</f>
        <v>0</v>
      </c>
      <c r="H66" s="26">
        <f t="shared" si="1"/>
        <v>189758.31000000003</v>
      </c>
      <c r="I66" s="24"/>
    </row>
    <row r="67" spans="1:9" ht="17.25" customHeight="1">
      <c r="A67" s="5"/>
      <c r="B67" s="6" t="s">
        <v>105</v>
      </c>
      <c r="C67" s="6" t="s">
        <v>149</v>
      </c>
      <c r="D67" s="7">
        <f>50000-5000</f>
        <v>45000</v>
      </c>
      <c r="E67" s="7"/>
      <c r="F67" s="19"/>
      <c r="G67" s="7"/>
      <c r="H67" s="26">
        <f t="shared" si="1"/>
        <v>45000</v>
      </c>
      <c r="I67" s="24"/>
    </row>
    <row r="68" spans="1:11" ht="17.25" customHeight="1">
      <c r="A68" s="5"/>
      <c r="B68" s="6" t="s">
        <v>106</v>
      </c>
      <c r="C68" s="6" t="s">
        <v>151</v>
      </c>
      <c r="D68" s="7">
        <f>300000-7000-5000-10000-190000</f>
        <v>88000</v>
      </c>
      <c r="E68" s="7"/>
      <c r="F68" s="19"/>
      <c r="G68" s="7"/>
      <c r="H68" s="26">
        <f t="shared" si="1"/>
        <v>88000</v>
      </c>
      <c r="I68" s="24"/>
      <c r="K68" s="24"/>
    </row>
    <row r="69" spans="1:9" ht="18" customHeight="1">
      <c r="A69" s="5"/>
      <c r="B69" s="6" t="s">
        <v>131</v>
      </c>
      <c r="C69" s="6" t="s">
        <v>154</v>
      </c>
      <c r="D69" s="7">
        <f>315000</f>
        <v>315000</v>
      </c>
      <c r="E69" s="7"/>
      <c r="F69" s="19">
        <f>37002.24+111006.72+49336.32+37002.24+12334.08+11560.09</f>
        <v>258241.68999999997</v>
      </c>
      <c r="G69" s="7"/>
      <c r="H69" s="26">
        <f t="shared" si="1"/>
        <v>56758.31000000003</v>
      </c>
      <c r="I69" s="24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1565000</v>
      </c>
      <c r="E70" s="10">
        <f>E71+E72+E73</f>
        <v>0</v>
      </c>
      <c r="F70" s="21">
        <f>F71+F72+F73</f>
        <v>616357.94</v>
      </c>
      <c r="G70" s="10">
        <f>G71+G72+G73</f>
        <v>0</v>
      </c>
      <c r="H70" s="26">
        <f t="shared" si="1"/>
        <v>948642.06</v>
      </c>
      <c r="I70" s="24"/>
    </row>
    <row r="71" spans="1:9" ht="21" customHeight="1">
      <c r="A71" s="5"/>
      <c r="B71" s="6" t="s">
        <v>108</v>
      </c>
      <c r="C71" s="6" t="s">
        <v>149</v>
      </c>
      <c r="D71" s="19">
        <f>40000+100000+100000+250000+700000</f>
        <v>1190000</v>
      </c>
      <c r="E71" s="7"/>
      <c r="F71" s="19">
        <f>35917.98+99415.96+99573+79437+75201+99607</f>
        <v>489151.94</v>
      </c>
      <c r="G71" s="7"/>
      <c r="H71" s="26">
        <f t="shared" si="1"/>
        <v>700848.06</v>
      </c>
      <c r="I71" s="24"/>
    </row>
    <row r="72" spans="1:9" ht="18.75" customHeight="1">
      <c r="A72" s="5"/>
      <c r="B72" s="6" t="s">
        <v>109</v>
      </c>
      <c r="C72" s="6" t="s">
        <v>151</v>
      </c>
      <c r="D72" s="22">
        <f>1700000+315000-40000-100000-1500000-100000</f>
        <v>275000</v>
      </c>
      <c r="E72" s="7"/>
      <c r="F72" s="19">
        <f>29648+12140+37130+5000+9368</f>
        <v>93286</v>
      </c>
      <c r="G72" s="7"/>
      <c r="H72" s="26">
        <f t="shared" si="1"/>
        <v>181714</v>
      </c>
      <c r="I72" s="24"/>
    </row>
    <row r="73" spans="1:9" ht="18.75" customHeight="1">
      <c r="A73" s="5"/>
      <c r="B73" s="6" t="s">
        <v>132</v>
      </c>
      <c r="C73" s="6" t="s">
        <v>152</v>
      </c>
      <c r="D73" s="19">
        <v>100000</v>
      </c>
      <c r="E73" s="7"/>
      <c r="F73" s="19">
        <f>33920</f>
        <v>33920</v>
      </c>
      <c r="G73" s="7"/>
      <c r="H73" s="26">
        <f aca="true" t="shared" si="3" ref="H73:H137">D73-F73</f>
        <v>66080</v>
      </c>
      <c r="I73" s="24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6255100</v>
      </c>
      <c r="E74" s="10">
        <f>E75+E76+E77+E78+E79+E80</f>
        <v>0</v>
      </c>
      <c r="F74" s="21">
        <f>F75+F76+F77+F78+F79+F80</f>
        <v>4845963.97</v>
      </c>
      <c r="G74" s="10">
        <f>G75+G76+G77+G78+G79+G80</f>
        <v>0</v>
      </c>
      <c r="H74" s="26">
        <f t="shared" si="3"/>
        <v>1409136.0300000003</v>
      </c>
      <c r="I74" s="24"/>
    </row>
    <row r="75" spans="1:9" ht="20.25" customHeight="1">
      <c r="A75" s="5"/>
      <c r="B75" s="6" t="s">
        <v>133</v>
      </c>
      <c r="C75" s="6" t="s">
        <v>147</v>
      </c>
      <c r="D75" s="19">
        <f>150000-20000-20000</f>
        <v>110000</v>
      </c>
      <c r="E75" s="7"/>
      <c r="F75" s="19"/>
      <c r="G75" s="7"/>
      <c r="H75" s="26">
        <f t="shared" si="3"/>
        <v>110000</v>
      </c>
      <c r="I75" s="24"/>
    </row>
    <row r="76" spans="1:9" ht="18.75" customHeight="1">
      <c r="A76" s="5"/>
      <c r="B76" s="6" t="s">
        <v>111</v>
      </c>
      <c r="C76" s="6" t="s">
        <v>148</v>
      </c>
      <c r="D76" s="19">
        <f>2601000+298300-160000</f>
        <v>2739300</v>
      </c>
      <c r="E76" s="7"/>
      <c r="F76" s="19">
        <f>583976.75+347952.26+306577.1+45733.94+228849.74+14400+31339.01+141018.99+91738.02+50142.49+51002.51+67495.44+45682.29+109336.54+83977.27+56475.84+91471.57+87812.66+70097.47+138156.53</f>
        <v>2643236.4199999995</v>
      </c>
      <c r="G76" s="7"/>
      <c r="H76" s="26">
        <f t="shared" si="3"/>
        <v>96063.58000000054</v>
      </c>
      <c r="I76" s="24"/>
    </row>
    <row r="77" spans="1:9" ht="17.25" customHeight="1">
      <c r="A77" s="5"/>
      <c r="B77" s="6" t="s">
        <v>110</v>
      </c>
      <c r="C77" s="6" t="s">
        <v>149</v>
      </c>
      <c r="D77" s="19">
        <f>1621300+15000+170000-65000-36000-40000-250000-5000+20000+55000+550000+140000</f>
        <v>2175300</v>
      </c>
      <c r="E77" s="7"/>
      <c r="F77" s="19">
        <f>28868.44+44444.83+191522.41+22002+10664.94+18979+46856+26136+21390+10103+20206+38002+18869.37+46856+23417+4154.4+19113+10103+36993+18374.38+22886.68+8876+2501+99120+40291+39705+35367+173634+5996.98+1041.95+2500+116312+69004.68+22001.21+132543+2501+1239.95+50055+2500+85688+3500+1241.95+152415.43+63503</f>
        <v>1791479.5999999999</v>
      </c>
      <c r="G77" s="7"/>
      <c r="H77" s="26">
        <f t="shared" si="3"/>
        <v>383820.40000000014</v>
      </c>
      <c r="I77" s="24"/>
    </row>
    <row r="78" spans="1:9" ht="20.25" customHeight="1">
      <c r="A78" s="5"/>
      <c r="B78" s="6" t="s">
        <v>112</v>
      </c>
      <c r="C78" s="6" t="s">
        <v>151</v>
      </c>
      <c r="D78" s="19">
        <f>88000-7500-30000+40000+160000+5000+25000+100000</f>
        <v>380500</v>
      </c>
      <c r="E78" s="7"/>
      <c r="F78" s="19">
        <f>19299.18+631.48+381+4954+4988.93+10103+530+262.92+48563+2999+1489.16+3002+50000+99999+6577+247.35+500+3056+1517.93+20000+4028+3738.2</f>
        <v>286867.14999999997</v>
      </c>
      <c r="G78" s="7"/>
      <c r="H78" s="26">
        <f t="shared" si="3"/>
        <v>93632.85000000003</v>
      </c>
      <c r="I78" s="24"/>
    </row>
    <row r="79" spans="1:9" ht="20.25" customHeight="1">
      <c r="A79" s="5"/>
      <c r="B79" s="6" t="s">
        <v>134</v>
      </c>
      <c r="C79" s="6" t="s">
        <v>152</v>
      </c>
      <c r="D79" s="19">
        <f>50000+500000</f>
        <v>550000</v>
      </c>
      <c r="E79" s="7"/>
      <c r="F79" s="19"/>
      <c r="G79" s="7"/>
      <c r="H79" s="26">
        <f t="shared" si="3"/>
        <v>550000</v>
      </c>
      <c r="I79" s="24"/>
    </row>
    <row r="80" spans="1:9" ht="20.25" customHeight="1">
      <c r="A80" s="5"/>
      <c r="B80" s="6" t="s">
        <v>135</v>
      </c>
      <c r="C80" s="6" t="s">
        <v>153</v>
      </c>
      <c r="D80" s="19">
        <f>300000</f>
        <v>300000</v>
      </c>
      <c r="E80" s="7"/>
      <c r="F80" s="19">
        <f>16174.7+32590+31535+5577.6+2208+3198.5+7724+190+3957+11226+10000</f>
        <v>124380.8</v>
      </c>
      <c r="G80" s="7"/>
      <c r="H80" s="26">
        <f t="shared" si="3"/>
        <v>175619.2</v>
      </c>
      <c r="I80" s="24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135000</v>
      </c>
      <c r="E81" s="10">
        <f>E82+E83</f>
        <v>0</v>
      </c>
      <c r="F81" s="21">
        <f>F82+F83</f>
        <v>131705.29</v>
      </c>
      <c r="G81" s="10">
        <f>G82+G83</f>
        <v>0</v>
      </c>
      <c r="H81" s="26">
        <f t="shared" si="3"/>
        <v>3294.709999999992</v>
      </c>
      <c r="I81" s="24"/>
    </row>
    <row r="82" spans="1:9" ht="17.25" customHeight="1">
      <c r="A82" s="5"/>
      <c r="B82" s="6" t="s">
        <v>113</v>
      </c>
      <c r="C82" s="6" t="s">
        <v>149</v>
      </c>
      <c r="D82" s="19">
        <f>20000</f>
        <v>20000</v>
      </c>
      <c r="E82" s="7"/>
      <c r="F82" s="19">
        <f>17345.29</f>
        <v>17345.29</v>
      </c>
      <c r="G82" s="7"/>
      <c r="H82" s="26">
        <f t="shared" si="3"/>
        <v>2654.709999999999</v>
      </c>
      <c r="I82" s="24"/>
    </row>
    <row r="83" spans="1:9" ht="17.25" customHeight="1">
      <c r="A83" s="5"/>
      <c r="B83" s="6" t="s">
        <v>114</v>
      </c>
      <c r="C83" s="6" t="s">
        <v>151</v>
      </c>
      <c r="D83" s="30">
        <f>30000+65000+10000+10000</f>
        <v>115000</v>
      </c>
      <c r="E83" s="7"/>
      <c r="F83" s="19">
        <f>27708+64652+12000+10000</f>
        <v>114360</v>
      </c>
      <c r="G83" s="7"/>
      <c r="H83" s="26">
        <f t="shared" si="3"/>
        <v>640</v>
      </c>
      <c r="I83" s="24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6">
        <f t="shared" si="3"/>
        <v>0</v>
      </c>
      <c r="I84" s="24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6">
        <f t="shared" si="3"/>
        <v>0</v>
      </c>
      <c r="I85" s="24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6">
        <f t="shared" si="3"/>
        <v>0</v>
      </c>
      <c r="I86" s="24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6">
        <f t="shared" si="3"/>
        <v>0</v>
      </c>
      <c r="I87" s="24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6">
        <f t="shared" si="3"/>
        <v>0</v>
      </c>
      <c r="I88" s="24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6">
        <f t="shared" si="3"/>
        <v>0</v>
      </c>
      <c r="I89" s="24"/>
      <c r="J89" s="25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6">
        <f t="shared" si="3"/>
        <v>0</v>
      </c>
      <c r="I90" s="24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6">
        <f t="shared" si="3"/>
        <v>0</v>
      </c>
      <c r="I91" s="24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6">
        <f t="shared" si="3"/>
        <v>0</v>
      </c>
      <c r="I92" s="24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2834000</v>
      </c>
      <c r="E93" s="10">
        <f>E94+E96+E97+E98+E100+E101</f>
        <v>0</v>
      </c>
      <c r="F93" s="21">
        <f>F94+F96+F97+F98+F100+F101+F99+F95</f>
        <v>2204832.83</v>
      </c>
      <c r="G93" s="10">
        <f>G94+G96+G97+G98+G100+G101</f>
        <v>0</v>
      </c>
      <c r="H93" s="26">
        <f t="shared" si="3"/>
        <v>629167.1699999999</v>
      </c>
      <c r="I93" s="24"/>
      <c r="J93" s="25"/>
    </row>
    <row r="94" spans="1:9" ht="18" customHeight="1">
      <c r="A94" s="5"/>
      <c r="B94" s="6" t="s">
        <v>119</v>
      </c>
      <c r="C94" s="6" t="s">
        <v>146</v>
      </c>
      <c r="D94" s="19">
        <v>50000</v>
      </c>
      <c r="E94" s="7"/>
      <c r="F94" s="19">
        <f>3474.34+3548.16+3539.62+3537.66+3438.82+3561.11+3530.06+3569.92+4931.83+5360.04</f>
        <v>38491.560000000005</v>
      </c>
      <c r="G94" s="7"/>
      <c r="H94" s="26">
        <f t="shared" si="3"/>
        <v>11508.439999999995</v>
      </c>
      <c r="I94" s="24"/>
    </row>
    <row r="95" spans="1:9" ht="18" customHeight="1">
      <c r="A95" s="5"/>
      <c r="B95" s="6" t="s">
        <v>191</v>
      </c>
      <c r="C95" s="6" t="s">
        <v>147</v>
      </c>
      <c r="D95" s="19">
        <f>1000</f>
        <v>1000</v>
      </c>
      <c r="E95" s="7"/>
      <c r="F95" s="19">
        <v>220</v>
      </c>
      <c r="G95" s="7"/>
      <c r="H95" s="26">
        <f t="shared" si="3"/>
        <v>780</v>
      </c>
      <c r="I95" s="24"/>
    </row>
    <row r="96" spans="1:9" ht="18" customHeight="1">
      <c r="A96" s="5"/>
      <c r="B96" s="6" t="s">
        <v>120</v>
      </c>
      <c r="C96" s="6" t="s">
        <v>148</v>
      </c>
      <c r="D96" s="19">
        <f>885000-1000</f>
        <v>884000</v>
      </c>
      <c r="E96" s="7"/>
      <c r="F96" s="19">
        <f>159506.55+139783.5+30862.38+78949.8+10573+60116.93+53158.36+1944+10000+418.32+156.6+49935.22+10000+862.19+10463.6+10000+130.5+348.6+1948.32+729+8000+8000+5000+594.96+3000+202.5+541.2+5000</f>
        <v>660225.5299999997</v>
      </c>
      <c r="G96" s="7"/>
      <c r="H96" s="26">
        <f t="shared" si="3"/>
        <v>223774.47000000032</v>
      </c>
      <c r="I96" s="24"/>
    </row>
    <row r="97" spans="1:9" ht="20.25" customHeight="1">
      <c r="A97" s="5"/>
      <c r="B97" s="6" t="s">
        <v>121</v>
      </c>
      <c r="C97" s="6" t="s">
        <v>149</v>
      </c>
      <c r="D97" s="19">
        <v>716000</v>
      </c>
      <c r="E97" s="7"/>
      <c r="F97" s="19">
        <f>16605.56+78044.53+16963+9664+4798.62+1065.68+1065.68+2500+1065.68+7600+9664+4798.62+2500+4200+1065.68+9664+5247.64+1065.68+25001+9664+4798.62+1065.68+4798.62+1124.42+7600+9664+12600+59856+18564+7000+58000+55000+13502+40020+20000+4798.62+1124.42+4200+4200+9664+9206.97+1124.42+4200</f>
        <v>564355.14</v>
      </c>
      <c r="G97" s="7"/>
      <c r="H97" s="26">
        <f t="shared" si="3"/>
        <v>151644.86</v>
      </c>
      <c r="I97" s="24"/>
    </row>
    <row r="98" spans="1:9" ht="19.5" customHeight="1">
      <c r="A98" s="5"/>
      <c r="B98" s="6" t="s">
        <v>122</v>
      </c>
      <c r="C98" s="6" t="s">
        <v>151</v>
      </c>
      <c r="D98" s="19">
        <f>931000-6000-5000-70000</f>
        <v>850000</v>
      </c>
      <c r="E98" s="7"/>
      <c r="F98" s="19">
        <f>8598.24+131419.55+41049.21+26096+12953.59+26092+12957.58+50000+26092+12508.57+120000+26092+25372.15+5500+12953.59+26096+33592+42679.19+26092+43259.17+1095</f>
        <v>710497.84</v>
      </c>
      <c r="G98" s="7"/>
      <c r="H98" s="26">
        <f t="shared" si="3"/>
        <v>139502.16000000003</v>
      </c>
      <c r="I98" s="24"/>
    </row>
    <row r="99" spans="1:9" ht="19.5" customHeight="1">
      <c r="A99" s="5"/>
      <c r="B99" s="6" t="s">
        <v>142</v>
      </c>
      <c r="C99" s="6" t="s">
        <v>154</v>
      </c>
      <c r="D99" s="19">
        <f>1000+6000+5000</f>
        <v>12000</v>
      </c>
      <c r="E99" s="7"/>
      <c r="F99" s="19">
        <f>800+5644.7+5000</f>
        <v>11444.7</v>
      </c>
      <c r="G99" s="7"/>
      <c r="H99" s="26">
        <f t="shared" si="3"/>
        <v>555.2999999999993</v>
      </c>
      <c r="I99" s="24"/>
    </row>
    <row r="100" spans="1:9" ht="18.75" customHeight="1">
      <c r="A100" s="5"/>
      <c r="B100" s="6" t="s">
        <v>123</v>
      </c>
      <c r="C100" s="6" t="s">
        <v>152</v>
      </c>
      <c r="D100" s="19">
        <f>15000</f>
        <v>15000</v>
      </c>
      <c r="E100" s="7"/>
      <c r="F100" s="19">
        <f>14990</f>
        <v>14990</v>
      </c>
      <c r="G100" s="7"/>
      <c r="H100" s="26">
        <f t="shared" si="3"/>
        <v>10</v>
      </c>
      <c r="I100" s="24"/>
    </row>
    <row r="101" spans="1:9" ht="18.75" customHeight="1">
      <c r="A101" s="5"/>
      <c r="B101" s="6" t="s">
        <v>124</v>
      </c>
      <c r="C101" s="6" t="s">
        <v>153</v>
      </c>
      <c r="D101" s="31">
        <f>96000+55000+55000+100000</f>
        <v>306000</v>
      </c>
      <c r="E101" s="7"/>
      <c r="F101" s="19">
        <f>5967+14012+1721+8000+1816+5000+1100+10000+5000+1000+398+1000+3000+1131+2434+3500+435+29100+10470+5166.81+2800+34453+3833+6123+43602+2000+301+1245.25</f>
        <v>204608.06</v>
      </c>
      <c r="G101" s="7"/>
      <c r="H101" s="26">
        <f t="shared" si="3"/>
        <v>101391.94</v>
      </c>
      <c r="I101" s="24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</f>
        <v>100000</v>
      </c>
      <c r="E102" s="10">
        <f>E104</f>
        <v>0</v>
      </c>
      <c r="F102" s="21">
        <f>F103+F104+F105</f>
        <v>38114</v>
      </c>
      <c r="G102" s="10">
        <f>G104</f>
        <v>0</v>
      </c>
      <c r="H102" s="26">
        <f t="shared" si="3"/>
        <v>61886</v>
      </c>
      <c r="I102" s="24"/>
    </row>
    <row r="103" spans="1:9" s="3" customFormat="1" ht="25.5" customHeight="1">
      <c r="A103" s="8"/>
      <c r="B103" s="6" t="s">
        <v>185</v>
      </c>
      <c r="C103" s="6" t="s">
        <v>147</v>
      </c>
      <c r="D103" s="29">
        <f>3000</f>
        <v>3000</v>
      </c>
      <c r="E103" s="10"/>
      <c r="F103" s="29">
        <v>1124</v>
      </c>
      <c r="G103" s="10"/>
      <c r="H103" s="26">
        <f t="shared" si="3"/>
        <v>1876</v>
      </c>
      <c r="I103" s="24"/>
    </row>
    <row r="104" spans="1:9" ht="18" customHeight="1">
      <c r="A104" s="5"/>
      <c r="B104" s="6" t="s">
        <v>136</v>
      </c>
      <c r="C104" s="6" t="s">
        <v>151</v>
      </c>
      <c r="D104" s="19">
        <f>100000-40000</f>
        <v>60000</v>
      </c>
      <c r="E104" s="7"/>
      <c r="F104" s="19"/>
      <c r="G104" s="7"/>
      <c r="H104" s="26">
        <f t="shared" si="3"/>
        <v>60000</v>
      </c>
      <c r="I104" s="24"/>
    </row>
    <row r="105" spans="1:9" ht="18" customHeight="1">
      <c r="A105" s="5"/>
      <c r="B105" s="6" t="s">
        <v>186</v>
      </c>
      <c r="C105" s="6" t="s">
        <v>152</v>
      </c>
      <c r="D105" s="19">
        <f>37000</f>
        <v>37000</v>
      </c>
      <c r="E105" s="7"/>
      <c r="F105" s="19">
        <v>36990</v>
      </c>
      <c r="G105" s="7"/>
      <c r="H105" s="26">
        <f t="shared" si="3"/>
        <v>10</v>
      </c>
      <c r="I105" s="24"/>
    </row>
    <row r="106" spans="1:9" ht="25.5" customHeight="1">
      <c r="A106" s="5"/>
      <c r="B106" s="11" t="s">
        <v>53</v>
      </c>
      <c r="C106" s="11" t="s">
        <v>67</v>
      </c>
      <c r="D106" s="13">
        <f aca="true" t="shared" si="4" ref="D106:G107">D107</f>
        <v>180000</v>
      </c>
      <c r="E106" s="13">
        <f t="shared" si="4"/>
        <v>0</v>
      </c>
      <c r="F106" s="20">
        <f t="shared" si="4"/>
        <v>143411.79</v>
      </c>
      <c r="G106" s="13">
        <f t="shared" si="4"/>
        <v>0</v>
      </c>
      <c r="H106" s="26">
        <f t="shared" si="3"/>
        <v>36588.20999999999</v>
      </c>
      <c r="I106" s="24"/>
    </row>
    <row r="107" spans="1:9" s="17" customFormat="1" ht="19.5" customHeight="1">
      <c r="A107" s="5">
        <v>2.79</v>
      </c>
      <c r="B107" s="6" t="s">
        <v>31</v>
      </c>
      <c r="C107" s="6" t="s">
        <v>34</v>
      </c>
      <c r="D107" s="7">
        <v>180000</v>
      </c>
      <c r="E107" s="7">
        <f t="shared" si="4"/>
        <v>0</v>
      </c>
      <c r="F107" s="19">
        <f>13677+13677+13676+13676.79+16630+14415+14415+14415+14415+14415</f>
        <v>143411.79</v>
      </c>
      <c r="G107" s="7">
        <f t="shared" si="4"/>
        <v>0</v>
      </c>
      <c r="H107" s="26">
        <f t="shared" si="3"/>
        <v>36588.20999999999</v>
      </c>
      <c r="I107" s="24"/>
    </row>
    <row r="108" spans="1:9" ht="36.75" customHeight="1">
      <c r="A108" s="5"/>
      <c r="B108" s="6" t="s">
        <v>137</v>
      </c>
      <c r="C108" s="6" t="s">
        <v>155</v>
      </c>
      <c r="D108" s="19">
        <f>D107</f>
        <v>180000</v>
      </c>
      <c r="E108" s="7"/>
      <c r="F108" s="19">
        <f>F107</f>
        <v>143411.79</v>
      </c>
      <c r="G108" s="7"/>
      <c r="H108" s="26">
        <f t="shared" si="3"/>
        <v>36588.20999999999</v>
      </c>
      <c r="I108" s="24"/>
    </row>
    <row r="109" spans="1:9" ht="18.75" customHeight="1">
      <c r="A109" s="5"/>
      <c r="B109" s="11" t="s">
        <v>187</v>
      </c>
      <c r="C109" s="11" t="s">
        <v>68</v>
      </c>
      <c r="D109" s="13">
        <f aca="true" t="shared" si="5" ref="D109:G110">D110</f>
        <v>30000</v>
      </c>
      <c r="E109" s="13">
        <f t="shared" si="5"/>
        <v>0</v>
      </c>
      <c r="F109" s="20">
        <f t="shared" si="5"/>
        <v>0</v>
      </c>
      <c r="G109" s="13">
        <f t="shared" si="5"/>
        <v>0</v>
      </c>
      <c r="H109" s="26">
        <f t="shared" si="3"/>
        <v>30000</v>
      </c>
      <c r="I109" s="24"/>
    </row>
    <row r="110" spans="1:9" s="17" customFormat="1" ht="17.25" customHeight="1">
      <c r="A110" s="5">
        <v>2.81</v>
      </c>
      <c r="B110" s="6" t="s">
        <v>6</v>
      </c>
      <c r="C110" s="6" t="s">
        <v>13</v>
      </c>
      <c r="D110" s="7">
        <f>D111</f>
        <v>30000</v>
      </c>
      <c r="E110" s="7">
        <f t="shared" si="5"/>
        <v>0</v>
      </c>
      <c r="F110" s="19"/>
      <c r="G110" s="7">
        <f t="shared" si="5"/>
        <v>0</v>
      </c>
      <c r="H110" s="26">
        <f t="shared" si="3"/>
        <v>30000</v>
      </c>
      <c r="I110" s="24"/>
    </row>
    <row r="111" spans="1:9" ht="16.5" customHeight="1">
      <c r="A111" s="5"/>
      <c r="B111" s="6" t="s">
        <v>188</v>
      </c>
      <c r="C111" s="6" t="s">
        <v>156</v>
      </c>
      <c r="D111" s="7">
        <v>30000</v>
      </c>
      <c r="E111" s="7"/>
      <c r="F111" s="19"/>
      <c r="G111" s="7"/>
      <c r="H111" s="26">
        <f t="shared" si="3"/>
        <v>30000</v>
      </c>
      <c r="I111" s="24"/>
    </row>
    <row r="112" spans="1:9" ht="48.75" customHeight="1">
      <c r="A112" s="5"/>
      <c r="B112" s="11" t="s">
        <v>54</v>
      </c>
      <c r="C112" s="11" t="s">
        <v>69</v>
      </c>
      <c r="D112" s="13">
        <f aca="true" t="shared" si="6" ref="D112:G113">D113</f>
        <v>3606067.87</v>
      </c>
      <c r="E112" s="13">
        <f t="shared" si="6"/>
        <v>0</v>
      </c>
      <c r="F112" s="20">
        <f t="shared" si="6"/>
        <v>3605332.5</v>
      </c>
      <c r="G112" s="13">
        <f t="shared" si="6"/>
        <v>0</v>
      </c>
      <c r="H112" s="26">
        <f t="shared" si="3"/>
        <v>735.3700000001118</v>
      </c>
      <c r="I112" s="24"/>
    </row>
    <row r="113" spans="1:9" s="17" customFormat="1" ht="15.75" customHeight="1">
      <c r="A113" s="5">
        <v>2.48</v>
      </c>
      <c r="B113" s="6" t="s">
        <v>4</v>
      </c>
      <c r="C113" s="6" t="s">
        <v>16</v>
      </c>
      <c r="D113" s="7">
        <f t="shared" si="6"/>
        <v>3606067.87</v>
      </c>
      <c r="E113" s="7">
        <f t="shared" si="6"/>
        <v>0</v>
      </c>
      <c r="F113" s="19">
        <f t="shared" si="6"/>
        <v>3605332.5</v>
      </c>
      <c r="G113" s="7">
        <f t="shared" si="6"/>
        <v>0</v>
      </c>
      <c r="H113" s="26">
        <f t="shared" si="3"/>
        <v>735.3700000001118</v>
      </c>
      <c r="I113" s="24"/>
    </row>
    <row r="114" spans="1:9" ht="18" customHeight="1">
      <c r="A114" s="5"/>
      <c r="B114" s="6" t="s">
        <v>138</v>
      </c>
      <c r="C114" s="6" t="s">
        <v>152</v>
      </c>
      <c r="D114" s="7">
        <f>2031267.87+1574800</f>
        <v>3606067.87</v>
      </c>
      <c r="E114" s="7"/>
      <c r="F114" s="19">
        <f>500000+1574796.76+515267.87+1015267.87</f>
        <v>3605332.5</v>
      </c>
      <c r="G114" s="7"/>
      <c r="H114" s="26">
        <f t="shared" si="3"/>
        <v>735.3700000001118</v>
      </c>
      <c r="I114" s="24"/>
    </row>
    <row r="115" spans="1:9" ht="49.5" customHeight="1">
      <c r="A115" s="5"/>
      <c r="B115" s="11" t="s">
        <v>160</v>
      </c>
      <c r="C115" s="11" t="s">
        <v>161</v>
      </c>
      <c r="D115" s="13">
        <f>D116+D118+D120+D122</f>
        <v>17933900</v>
      </c>
      <c r="E115" s="13">
        <f>E116+E118+E120</f>
        <v>0</v>
      </c>
      <c r="F115" s="20">
        <f>F116+F118+F120+F122</f>
        <v>5616718.0600000005</v>
      </c>
      <c r="G115" s="13">
        <f>G116+G118+G120</f>
        <v>0</v>
      </c>
      <c r="H115" s="26">
        <f t="shared" si="3"/>
        <v>12317181.94</v>
      </c>
      <c r="I115" s="24"/>
    </row>
    <row r="116" spans="1:9" ht="18" customHeight="1">
      <c r="A116" s="5">
        <v>2.48</v>
      </c>
      <c r="B116" s="6" t="s">
        <v>4</v>
      </c>
      <c r="C116" s="6" t="s">
        <v>16</v>
      </c>
      <c r="D116" s="7">
        <f>D117</f>
        <v>0</v>
      </c>
      <c r="E116" s="7">
        <f>E117</f>
        <v>0</v>
      </c>
      <c r="F116" s="19"/>
      <c r="G116" s="7">
        <f>G117</f>
        <v>0</v>
      </c>
      <c r="H116" s="26">
        <f t="shared" si="3"/>
        <v>0</v>
      </c>
      <c r="I116" s="24"/>
    </row>
    <row r="117" spans="1:9" ht="18" customHeight="1">
      <c r="A117" s="5"/>
      <c r="B117" s="6" t="s">
        <v>138</v>
      </c>
      <c r="C117" s="6" t="s">
        <v>152</v>
      </c>
      <c r="D117" s="19"/>
      <c r="E117" s="7"/>
      <c r="F117" s="19"/>
      <c r="G117" s="7"/>
      <c r="H117" s="26">
        <f t="shared" si="3"/>
        <v>0</v>
      </c>
      <c r="I117" s="24"/>
    </row>
    <row r="118" spans="1:9" ht="23.25" customHeight="1">
      <c r="A118" s="5"/>
      <c r="B118" s="6" t="s">
        <v>8</v>
      </c>
      <c r="C118" s="18" t="s">
        <v>26</v>
      </c>
      <c r="D118" s="19">
        <f>D119</f>
        <v>613000</v>
      </c>
      <c r="E118" s="7">
        <f>E119</f>
        <v>0</v>
      </c>
      <c r="F118" s="19">
        <f>F119</f>
        <v>195175.39</v>
      </c>
      <c r="G118" s="7">
        <f>G119</f>
        <v>0</v>
      </c>
      <c r="H118" s="26">
        <f t="shared" si="3"/>
        <v>417824.61</v>
      </c>
      <c r="I118" s="24"/>
    </row>
    <row r="119" spans="1:9" ht="18" customHeight="1">
      <c r="A119" s="5"/>
      <c r="B119" s="6" t="s">
        <v>114</v>
      </c>
      <c r="C119" s="6" t="s">
        <v>151</v>
      </c>
      <c r="D119" s="19">
        <f>613000</f>
        <v>613000</v>
      </c>
      <c r="E119" s="7"/>
      <c r="F119" s="19">
        <f>96.09+172.94+47461+85849+122.89+61308+165.47</f>
        <v>195175.39</v>
      </c>
      <c r="G119" s="7"/>
      <c r="H119" s="26">
        <f t="shared" si="3"/>
        <v>417824.61</v>
      </c>
      <c r="I119" s="24"/>
    </row>
    <row r="120" spans="1:9" ht="27" customHeight="1">
      <c r="A120" s="5"/>
      <c r="B120" s="18" t="s">
        <v>8</v>
      </c>
      <c r="C120" s="18" t="s">
        <v>26</v>
      </c>
      <c r="D120" s="19">
        <f>D121</f>
        <v>17320900</v>
      </c>
      <c r="E120" s="7">
        <f>E121</f>
        <v>0</v>
      </c>
      <c r="F120" s="19">
        <f>F121</f>
        <v>5421542.670000001</v>
      </c>
      <c r="G120" s="7">
        <f>G121</f>
        <v>0</v>
      </c>
      <c r="H120" s="26">
        <f t="shared" si="3"/>
        <v>11899357.329999998</v>
      </c>
      <c r="I120" s="24"/>
    </row>
    <row r="121" spans="1:9" ht="18" customHeight="1">
      <c r="A121" s="5"/>
      <c r="B121" s="6" t="s">
        <v>162</v>
      </c>
      <c r="C121" s="6" t="s">
        <v>152</v>
      </c>
      <c r="D121" s="19">
        <f>17897900+36000-613000</f>
        <v>17320900</v>
      </c>
      <c r="E121" s="7"/>
      <c r="F121" s="19">
        <f>2642.32+4779.45+1318388+2384719+3413.54+1703004+4596.36</f>
        <v>5421542.670000001</v>
      </c>
      <c r="G121" s="7"/>
      <c r="H121" s="26">
        <f t="shared" si="3"/>
        <v>11899357.329999998</v>
      </c>
      <c r="I121" s="24"/>
    </row>
    <row r="122" spans="1:9" ht="18" customHeight="1">
      <c r="A122" s="5"/>
      <c r="B122" s="6" t="s">
        <v>169</v>
      </c>
      <c r="C122" s="6" t="s">
        <v>152</v>
      </c>
      <c r="D122" s="19"/>
      <c r="E122" s="7"/>
      <c r="F122" s="19"/>
      <c r="G122" s="7"/>
      <c r="H122" s="26">
        <f t="shared" si="3"/>
        <v>0</v>
      </c>
      <c r="I122" s="24"/>
    </row>
    <row r="123" spans="1:9" ht="72.75" customHeight="1">
      <c r="A123" s="5"/>
      <c r="B123" s="11" t="s">
        <v>55</v>
      </c>
      <c r="C123" s="11" t="s">
        <v>70</v>
      </c>
      <c r="D123" s="13">
        <f>D124</f>
        <v>0</v>
      </c>
      <c r="E123" s="13">
        <f>E124</f>
        <v>0</v>
      </c>
      <c r="F123" s="20">
        <f>F124</f>
        <v>0</v>
      </c>
      <c r="G123" s="13">
        <f>G124</f>
        <v>0</v>
      </c>
      <c r="H123" s="26">
        <f t="shared" si="3"/>
        <v>0</v>
      </c>
      <c r="I123" s="24"/>
    </row>
    <row r="124" spans="1:9" s="17" customFormat="1" ht="17.25" customHeight="1">
      <c r="A124" s="15">
        <v>2.5</v>
      </c>
      <c r="B124" s="6" t="s">
        <v>32</v>
      </c>
      <c r="C124" s="6" t="s">
        <v>37</v>
      </c>
      <c r="D124" s="7">
        <f>D126</f>
        <v>0</v>
      </c>
      <c r="E124" s="7">
        <f>E126</f>
        <v>0</v>
      </c>
      <c r="F124" s="19">
        <f>F126</f>
        <v>0</v>
      </c>
      <c r="G124" s="7">
        <f>G126</f>
        <v>0</v>
      </c>
      <c r="H124" s="26">
        <f t="shared" si="3"/>
        <v>0</v>
      </c>
      <c r="I124" s="24"/>
    </row>
    <row r="125" spans="1:9" ht="12.75" hidden="1">
      <c r="A125" s="5"/>
      <c r="B125" s="6"/>
      <c r="C125" s="6"/>
      <c r="D125" s="7"/>
      <c r="E125" s="7"/>
      <c r="F125" s="19"/>
      <c r="G125" s="7"/>
      <c r="H125" s="26">
        <f t="shared" si="3"/>
        <v>0</v>
      </c>
      <c r="I125" s="24"/>
    </row>
    <row r="126" spans="1:9" ht="36.75" customHeight="1">
      <c r="A126" s="5"/>
      <c r="B126" s="6" t="s">
        <v>139</v>
      </c>
      <c r="C126" s="6" t="s">
        <v>157</v>
      </c>
      <c r="D126" s="7"/>
      <c r="E126" s="7"/>
      <c r="F126" s="19"/>
      <c r="G126" s="7"/>
      <c r="H126" s="26">
        <f t="shared" si="3"/>
        <v>0</v>
      </c>
      <c r="I126" s="24"/>
    </row>
    <row r="127" spans="1:9" ht="18.75" customHeight="1">
      <c r="A127" s="5"/>
      <c r="B127" s="11" t="s">
        <v>56</v>
      </c>
      <c r="C127" s="11" t="s">
        <v>71</v>
      </c>
      <c r="D127" s="20">
        <f>D128</f>
        <v>0</v>
      </c>
      <c r="E127" s="20">
        <f>E128</f>
        <v>0</v>
      </c>
      <c r="F127" s="20">
        <f>F128</f>
        <v>0</v>
      </c>
      <c r="G127" s="13">
        <f>G128</f>
        <v>0</v>
      </c>
      <c r="H127" s="26">
        <f t="shared" si="3"/>
        <v>0</v>
      </c>
      <c r="I127" s="24"/>
    </row>
    <row r="128" spans="1:9" s="17" customFormat="1" ht="24.75" customHeight="1">
      <c r="A128" s="5">
        <v>2.94</v>
      </c>
      <c r="B128" s="6" t="s">
        <v>20</v>
      </c>
      <c r="C128" s="6" t="s">
        <v>30</v>
      </c>
      <c r="D128" s="19"/>
      <c r="E128" s="19">
        <f>E130</f>
        <v>0</v>
      </c>
      <c r="F128" s="19"/>
      <c r="G128" s="7">
        <f>G130</f>
        <v>0</v>
      </c>
      <c r="H128" s="26">
        <f t="shared" si="3"/>
        <v>0</v>
      </c>
      <c r="I128" s="24"/>
    </row>
    <row r="129" spans="1:9" ht="12.75" hidden="1">
      <c r="A129" s="5"/>
      <c r="B129" s="11"/>
      <c r="C129" s="6"/>
      <c r="D129" s="19"/>
      <c r="E129" s="19"/>
      <c r="F129" s="19"/>
      <c r="G129" s="7"/>
      <c r="H129" s="26">
        <f t="shared" si="3"/>
        <v>0</v>
      </c>
      <c r="I129" s="24"/>
    </row>
    <row r="130" spans="1:9" ht="17.25" customHeight="1">
      <c r="A130" s="5"/>
      <c r="B130" s="6" t="s">
        <v>140</v>
      </c>
      <c r="C130" s="6" t="s">
        <v>158</v>
      </c>
      <c r="D130" s="19"/>
      <c r="E130" s="19">
        <f>D130</f>
        <v>0</v>
      </c>
      <c r="F130" s="19"/>
      <c r="G130" s="7">
        <f>F130</f>
        <v>0</v>
      </c>
      <c r="H130" s="26">
        <f t="shared" si="3"/>
        <v>0</v>
      </c>
      <c r="I130" s="24"/>
    </row>
    <row r="131" spans="1:9" ht="61.5" customHeight="1">
      <c r="A131" s="5"/>
      <c r="B131" s="11" t="s">
        <v>60</v>
      </c>
      <c r="C131" s="11" t="s">
        <v>72</v>
      </c>
      <c r="D131" s="13">
        <f>D132</f>
        <v>0</v>
      </c>
      <c r="E131" s="13">
        <f>E132</f>
        <v>0</v>
      </c>
      <c r="F131" s="20">
        <f>F132</f>
        <v>0</v>
      </c>
      <c r="G131" s="13">
        <f>G132</f>
        <v>0</v>
      </c>
      <c r="H131" s="26">
        <f t="shared" si="3"/>
        <v>0</v>
      </c>
      <c r="I131" s="24"/>
    </row>
    <row r="132" spans="1:9" s="17" customFormat="1" ht="19.5" customHeight="1">
      <c r="A132" s="5">
        <v>2.48</v>
      </c>
      <c r="B132" s="6" t="s">
        <v>4</v>
      </c>
      <c r="C132" s="6" t="s">
        <v>16</v>
      </c>
      <c r="D132" s="7">
        <f>D134</f>
        <v>0</v>
      </c>
      <c r="E132" s="7">
        <f>E134</f>
        <v>0</v>
      </c>
      <c r="F132" s="19">
        <f>F134</f>
        <v>0</v>
      </c>
      <c r="G132" s="7">
        <f>G134</f>
        <v>0</v>
      </c>
      <c r="H132" s="26">
        <f t="shared" si="3"/>
        <v>0</v>
      </c>
      <c r="I132" s="24"/>
    </row>
    <row r="133" spans="1:9" ht="12.75" hidden="1">
      <c r="A133" s="5"/>
      <c r="B133" s="11"/>
      <c r="C133" s="6"/>
      <c r="D133" s="7"/>
      <c r="E133" s="7"/>
      <c r="F133" s="19"/>
      <c r="G133" s="7"/>
      <c r="H133" s="26">
        <f t="shared" si="3"/>
        <v>0</v>
      </c>
      <c r="I133" s="24"/>
    </row>
    <row r="134" spans="1:9" ht="36.75" customHeight="1">
      <c r="A134" s="5"/>
      <c r="B134" s="6" t="s">
        <v>107</v>
      </c>
      <c r="C134" s="6" t="s">
        <v>159</v>
      </c>
      <c r="D134" s="7">
        <f>424000-424000</f>
        <v>0</v>
      </c>
      <c r="E134" s="7"/>
      <c r="F134" s="19"/>
      <c r="G134" s="7"/>
      <c r="H134" s="26">
        <f t="shared" si="3"/>
        <v>0</v>
      </c>
      <c r="I134" s="24"/>
    </row>
    <row r="135" spans="1:9" ht="36.75" customHeight="1">
      <c r="A135" s="5"/>
      <c r="B135" s="11" t="s">
        <v>163</v>
      </c>
      <c r="C135" s="6" t="s">
        <v>154</v>
      </c>
      <c r="D135" s="13"/>
      <c r="E135" s="13"/>
      <c r="F135" s="20">
        <f>F136</f>
        <v>0</v>
      </c>
      <c r="G135" s="7"/>
      <c r="H135" s="26">
        <f t="shared" si="3"/>
        <v>0</v>
      </c>
      <c r="I135" s="24"/>
    </row>
    <row r="136" spans="1:9" ht="36.75" customHeight="1">
      <c r="A136" s="5"/>
      <c r="B136" s="6" t="s">
        <v>164</v>
      </c>
      <c r="C136" s="6" t="s">
        <v>165</v>
      </c>
      <c r="D136" s="7"/>
      <c r="E136" s="7"/>
      <c r="F136" s="19"/>
      <c r="G136" s="7"/>
      <c r="H136" s="26">
        <f t="shared" si="3"/>
        <v>0</v>
      </c>
      <c r="I136" s="24"/>
    </row>
    <row r="137" spans="1:9" ht="27.75" customHeight="1">
      <c r="A137" s="5"/>
      <c r="B137" s="11" t="s">
        <v>57</v>
      </c>
      <c r="C137" s="11" t="s">
        <v>73</v>
      </c>
      <c r="D137" s="13">
        <f>D138+D140</f>
        <v>35000</v>
      </c>
      <c r="E137" s="13">
        <f>E138+E140</f>
        <v>0</v>
      </c>
      <c r="F137" s="20">
        <f>F138+F140</f>
        <v>22174</v>
      </c>
      <c r="G137" s="13">
        <f>G138+G140</f>
        <v>0</v>
      </c>
      <c r="H137" s="26">
        <f t="shared" si="3"/>
        <v>12826</v>
      </c>
      <c r="I137" s="24"/>
    </row>
    <row r="138" spans="1:9" s="17" customFormat="1" ht="49.5" customHeight="1">
      <c r="A138" s="5">
        <v>2.5</v>
      </c>
      <c r="B138" s="6" t="s">
        <v>22</v>
      </c>
      <c r="C138" s="6" t="s">
        <v>10</v>
      </c>
      <c r="D138" s="7">
        <f>D139</f>
        <v>24000</v>
      </c>
      <c r="E138" s="7">
        <f>E139</f>
        <v>0</v>
      </c>
      <c r="F138" s="19">
        <f>F139</f>
        <v>13291</v>
      </c>
      <c r="G138" s="7">
        <f>G139</f>
        <v>0</v>
      </c>
      <c r="H138" s="26">
        <f aca="true" t="shared" si="7" ref="H138:H155">D138-F138</f>
        <v>10709</v>
      </c>
      <c r="I138" s="24"/>
    </row>
    <row r="139" spans="1:9" ht="15" customHeight="1">
      <c r="A139" s="5"/>
      <c r="B139" s="6" t="s">
        <v>141</v>
      </c>
      <c r="C139" s="6" t="s">
        <v>154</v>
      </c>
      <c r="D139" s="19">
        <f>55000-5000-26000</f>
        <v>24000</v>
      </c>
      <c r="E139" s="7"/>
      <c r="F139" s="19">
        <f>505+4174+4283+4329</f>
        <v>13291</v>
      </c>
      <c r="G139" s="7"/>
      <c r="H139" s="26">
        <f t="shared" si="7"/>
        <v>10709</v>
      </c>
      <c r="I139" s="24"/>
    </row>
    <row r="140" spans="1:9" s="17" customFormat="1" ht="18" customHeight="1">
      <c r="A140" s="5">
        <v>2.66</v>
      </c>
      <c r="B140" s="6" t="s">
        <v>27</v>
      </c>
      <c r="C140" s="6" t="s">
        <v>43</v>
      </c>
      <c r="D140" s="19">
        <f>D141</f>
        <v>11000</v>
      </c>
      <c r="E140" s="7">
        <f>E141</f>
        <v>0</v>
      </c>
      <c r="F140" s="19">
        <f>F141</f>
        <v>8883</v>
      </c>
      <c r="G140" s="7">
        <f>G141</f>
        <v>0</v>
      </c>
      <c r="H140" s="26">
        <f t="shared" si="7"/>
        <v>2117</v>
      </c>
      <c r="I140" s="24"/>
    </row>
    <row r="141" spans="1:9" ht="18" customHeight="1">
      <c r="A141" s="5"/>
      <c r="B141" s="6" t="s">
        <v>142</v>
      </c>
      <c r="C141" s="6" t="s">
        <v>154</v>
      </c>
      <c r="D141" s="19">
        <f>20000-4000-5000</f>
        <v>11000</v>
      </c>
      <c r="E141" s="7"/>
      <c r="F141" s="19">
        <f>2960+3000+2923</f>
        <v>8883</v>
      </c>
      <c r="G141" s="7"/>
      <c r="H141" s="26">
        <f t="shared" si="7"/>
        <v>2117</v>
      </c>
      <c r="I141" s="24"/>
    </row>
    <row r="142" spans="1:9" ht="18" customHeight="1">
      <c r="A142" s="5"/>
      <c r="B142" s="11" t="s">
        <v>58</v>
      </c>
      <c r="C142" s="11" t="s">
        <v>74</v>
      </c>
      <c r="D142" s="20">
        <f>D143+D145</f>
        <v>14000</v>
      </c>
      <c r="E142" s="13">
        <f>E143+E145</f>
        <v>0</v>
      </c>
      <c r="F142" s="20">
        <f>F143+F145</f>
        <v>8160</v>
      </c>
      <c r="G142" s="13">
        <f>G143+G145</f>
        <v>0</v>
      </c>
      <c r="H142" s="26">
        <f t="shared" si="7"/>
        <v>5840</v>
      </c>
      <c r="I142" s="24"/>
    </row>
    <row r="143" spans="1:9" s="17" customFormat="1" ht="52.5" customHeight="1">
      <c r="A143" s="5">
        <v>2.5</v>
      </c>
      <c r="B143" s="6" t="s">
        <v>22</v>
      </c>
      <c r="C143" s="6" t="s">
        <v>10</v>
      </c>
      <c r="D143" s="19">
        <f>D144</f>
        <v>5000</v>
      </c>
      <c r="E143" s="7">
        <f>E144</f>
        <v>0</v>
      </c>
      <c r="F143" s="19"/>
      <c r="G143" s="7">
        <f>G144</f>
        <v>0</v>
      </c>
      <c r="H143" s="26">
        <f t="shared" si="7"/>
        <v>5000</v>
      </c>
      <c r="I143" s="24"/>
    </row>
    <row r="144" spans="1:9" ht="16.5" customHeight="1">
      <c r="A144" s="5"/>
      <c r="B144" s="6" t="s">
        <v>141</v>
      </c>
      <c r="C144" s="6" t="s">
        <v>154</v>
      </c>
      <c r="D144" s="19">
        <v>5000</v>
      </c>
      <c r="E144" s="7"/>
      <c r="F144" s="19"/>
      <c r="G144" s="7"/>
      <c r="H144" s="26">
        <f t="shared" si="7"/>
        <v>5000</v>
      </c>
      <c r="I144" s="24"/>
    </row>
    <row r="145" spans="1:9" s="17" customFormat="1" ht="16.5" customHeight="1">
      <c r="A145" s="5">
        <v>2.66</v>
      </c>
      <c r="B145" s="6" t="s">
        <v>27</v>
      </c>
      <c r="C145" s="6" t="s">
        <v>43</v>
      </c>
      <c r="D145" s="19">
        <f>D146</f>
        <v>9000</v>
      </c>
      <c r="E145" s="7">
        <f>E146</f>
        <v>0</v>
      </c>
      <c r="F145" s="19">
        <f>F146</f>
        <v>8160</v>
      </c>
      <c r="G145" s="7">
        <f>G146</f>
        <v>0</v>
      </c>
      <c r="H145" s="26">
        <f t="shared" si="7"/>
        <v>840</v>
      </c>
      <c r="I145" s="24"/>
    </row>
    <row r="146" spans="1:9" ht="18" customHeight="1">
      <c r="A146" s="5"/>
      <c r="B146" s="6" t="s">
        <v>142</v>
      </c>
      <c r="C146" s="6" t="s">
        <v>154</v>
      </c>
      <c r="D146" s="19">
        <f>5000+4000</f>
        <v>9000</v>
      </c>
      <c r="E146" s="7"/>
      <c r="F146" s="19">
        <f>8160</f>
        <v>8160</v>
      </c>
      <c r="G146" s="7"/>
      <c r="H146" s="26">
        <f t="shared" si="7"/>
        <v>840</v>
      </c>
      <c r="I146" s="24"/>
    </row>
    <row r="147" spans="1:9" ht="16.5" customHeight="1">
      <c r="A147" s="5"/>
      <c r="B147" s="11" t="s">
        <v>59</v>
      </c>
      <c r="C147" s="11" t="s">
        <v>75</v>
      </c>
      <c r="D147" s="20">
        <f>D148+D150</f>
        <v>93000</v>
      </c>
      <c r="E147" s="13">
        <f>E148+E150</f>
        <v>0</v>
      </c>
      <c r="F147" s="20">
        <f>F148+F150</f>
        <v>91946.21</v>
      </c>
      <c r="G147" s="13">
        <f>G148+G150</f>
        <v>0</v>
      </c>
      <c r="H147" s="26">
        <f t="shared" si="7"/>
        <v>1053.7899999999936</v>
      </c>
      <c r="I147" s="24"/>
    </row>
    <row r="148" spans="1:9" s="17" customFormat="1" ht="50.25" customHeight="1">
      <c r="A148" s="5">
        <v>2.5</v>
      </c>
      <c r="B148" s="6" t="s">
        <v>22</v>
      </c>
      <c r="C148" s="6" t="s">
        <v>10</v>
      </c>
      <c r="D148" s="7">
        <f>D149</f>
        <v>66000</v>
      </c>
      <c r="E148" s="7">
        <f>E149</f>
        <v>0</v>
      </c>
      <c r="F148" s="19">
        <f>F149</f>
        <v>65259.83000000001</v>
      </c>
      <c r="G148" s="7">
        <f>G149</f>
        <v>0</v>
      </c>
      <c r="H148" s="26">
        <f t="shared" si="7"/>
        <v>740.169999999991</v>
      </c>
      <c r="I148" s="24"/>
    </row>
    <row r="149" spans="1:9" ht="16.5" customHeight="1">
      <c r="A149" s="5"/>
      <c r="B149" s="6" t="s">
        <v>141</v>
      </c>
      <c r="C149" s="6" t="s">
        <v>154</v>
      </c>
      <c r="D149" s="30">
        <f>40000-5000+5000+26000</f>
        <v>66000</v>
      </c>
      <c r="E149" s="7"/>
      <c r="F149" s="19">
        <f>2265.58+18214.4+387.53+15131+0.19+244.37+189.46+6688.8+11068.5+11070</f>
        <v>65259.83000000001</v>
      </c>
      <c r="G149" s="7"/>
      <c r="H149" s="26">
        <f t="shared" si="7"/>
        <v>740.169999999991</v>
      </c>
      <c r="I149" s="24"/>
    </row>
    <row r="150" spans="1:9" s="17" customFormat="1" ht="17.25" customHeight="1">
      <c r="A150" s="5">
        <v>2.66</v>
      </c>
      <c r="B150" s="6" t="s">
        <v>27</v>
      </c>
      <c r="C150" s="6" t="s">
        <v>43</v>
      </c>
      <c r="D150" s="30">
        <f>D151</f>
        <v>27000</v>
      </c>
      <c r="E150" s="7">
        <f>E151</f>
        <v>0</v>
      </c>
      <c r="F150" s="19">
        <f>F151</f>
        <v>26686.379999999997</v>
      </c>
      <c r="G150" s="7">
        <f>G151</f>
        <v>0</v>
      </c>
      <c r="H150" s="26">
        <f t="shared" si="7"/>
        <v>313.6200000000026</v>
      </c>
      <c r="I150" s="24"/>
    </row>
    <row r="151" spans="1:9" ht="15.75" customHeight="1">
      <c r="A151" s="5"/>
      <c r="B151" s="6" t="s">
        <v>142</v>
      </c>
      <c r="C151" s="6" t="s">
        <v>154</v>
      </c>
      <c r="D151" s="19">
        <f>2000+5000+5000+15000</f>
        <v>27000</v>
      </c>
      <c r="E151" s="7"/>
      <c r="F151" s="19">
        <f>396.78+6330.8+5094.2+63.9+4800.7+10000</f>
        <v>26686.379999999997</v>
      </c>
      <c r="G151" s="7"/>
      <c r="H151" s="26">
        <f t="shared" si="7"/>
        <v>313.6200000000026</v>
      </c>
      <c r="I151" s="24"/>
    </row>
    <row r="152" spans="1:9" ht="16.5" customHeight="1">
      <c r="A152" s="5"/>
      <c r="B152" s="11" t="s">
        <v>61</v>
      </c>
      <c r="C152" s="11" t="s">
        <v>76</v>
      </c>
      <c r="D152" s="13">
        <f aca="true" t="shared" si="8" ref="D152:G153">D153</f>
        <v>0</v>
      </c>
      <c r="E152" s="13">
        <f t="shared" si="8"/>
        <v>0</v>
      </c>
      <c r="F152" s="20">
        <f t="shared" si="8"/>
        <v>0</v>
      </c>
      <c r="G152" s="13">
        <f t="shared" si="8"/>
        <v>0</v>
      </c>
      <c r="H152" s="26">
        <f t="shared" si="7"/>
        <v>0</v>
      </c>
      <c r="I152" s="24"/>
    </row>
    <row r="153" spans="1:9" ht="15.75" customHeight="1">
      <c r="A153" s="5">
        <v>2.12</v>
      </c>
      <c r="B153" s="6" t="s">
        <v>5</v>
      </c>
      <c r="C153" s="6" t="s">
        <v>2</v>
      </c>
      <c r="D153" s="7">
        <f t="shared" si="8"/>
        <v>0</v>
      </c>
      <c r="E153" s="7">
        <f t="shared" si="8"/>
        <v>0</v>
      </c>
      <c r="F153" s="19">
        <f t="shared" si="8"/>
        <v>0</v>
      </c>
      <c r="G153" s="7">
        <f t="shared" si="8"/>
        <v>0</v>
      </c>
      <c r="H153" s="26">
        <f t="shared" si="7"/>
        <v>0</v>
      </c>
      <c r="I153" s="24"/>
    </row>
    <row r="154" spans="1:9" ht="18.75" customHeight="1">
      <c r="A154" s="5"/>
      <c r="B154" s="6" t="s">
        <v>143</v>
      </c>
      <c r="C154" s="6" t="s">
        <v>154</v>
      </c>
      <c r="D154" s="7"/>
      <c r="E154" s="7"/>
      <c r="F154" s="7"/>
      <c r="G154" s="7"/>
      <c r="H154" s="26">
        <f t="shared" si="7"/>
        <v>0</v>
      </c>
      <c r="I154" s="24"/>
    </row>
    <row r="155" spans="1:9" s="3" customFormat="1" ht="26.25" customHeight="1">
      <c r="A155" s="8" t="s">
        <v>23</v>
      </c>
      <c r="B155" s="9" t="s">
        <v>15</v>
      </c>
      <c r="C155" s="9" t="s">
        <v>9</v>
      </c>
      <c r="D155" s="21">
        <f>47466246.3-D6</f>
        <v>-2154800</v>
      </c>
      <c r="E155" s="21">
        <f>24814813.43-347535</f>
        <v>24467278.43</v>
      </c>
      <c r="F155" s="21">
        <f>32925354-F6</f>
        <v>2060992.9399999976</v>
      </c>
      <c r="G155" s="21">
        <v>10342416.16</v>
      </c>
      <c r="H155" s="26">
        <f t="shared" si="7"/>
        <v>-4215792.939999998</v>
      </c>
      <c r="I155" s="24"/>
    </row>
    <row r="156" spans="1:8" ht="12.75">
      <c r="A156" s="33" t="s">
        <v>34</v>
      </c>
      <c r="B156" s="34"/>
      <c r="C156" s="34"/>
      <c r="D156" s="1" t="s">
        <v>34</v>
      </c>
      <c r="H156" s="26"/>
    </row>
    <row r="157" spans="1:9" ht="15">
      <c r="A157" s="14"/>
      <c r="B157" t="s">
        <v>80</v>
      </c>
      <c r="D157" s="16"/>
      <c r="E157" t="s">
        <v>170</v>
      </c>
      <c r="H157" s="26"/>
      <c r="I157" t="s">
        <v>190</v>
      </c>
    </row>
    <row r="158" spans="1:8" ht="15">
      <c r="A158" s="14"/>
      <c r="D158" s="16"/>
      <c r="H158" s="26"/>
    </row>
    <row r="159" ht="12.75">
      <c r="H159" s="26"/>
    </row>
    <row r="160" spans="2:8" ht="12.75">
      <c r="B160" t="s">
        <v>81</v>
      </c>
      <c r="E160" s="23" t="s">
        <v>167</v>
      </c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</sheetData>
  <sheetProtection/>
  <mergeCells count="6">
    <mergeCell ref="A1:G1"/>
    <mergeCell ref="A3:G3"/>
    <mergeCell ref="A156:C156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2017-11-03T07:17:44Z</cp:lastPrinted>
  <dcterms:created xsi:type="dcterms:W3CDTF">2016-02-15T06:23:39Z</dcterms:created>
  <dcterms:modified xsi:type="dcterms:W3CDTF">2017-11-03T07:17:46Z</dcterms:modified>
  <cp:category/>
  <cp:version/>
  <cp:contentType/>
  <cp:contentStatus/>
</cp:coreProperties>
</file>